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jgg7\Documents\The Climate Center\Pathways and Targets\Bay Area GHG Trends\"/>
    </mc:Choice>
  </mc:AlternateContent>
  <xr:revisionPtr revIDLastSave="0" documentId="13_ncr:1_{68A7E9E7-EC11-4D83-A3DF-7F5FB476E5BA}" xr6:coauthVersionLast="47" xr6:coauthVersionMax="47" xr10:uidLastSave="{00000000-0000-0000-0000-000000000000}"/>
  <bookViews>
    <workbookView xWindow="-110" yWindow="-110" windowWidth="19420" windowHeight="10420" xr2:uid="{73998226-7B20-384E-A505-4906B7F241B0}"/>
  </bookViews>
  <sheets>
    <sheet name="Introduction" sheetId="10" r:id="rId1"/>
    <sheet name="total" sheetId="1" r:id="rId2"/>
    <sheet name="Napa-SF Comp" sheetId="11" r:id="rId3"/>
    <sheet name="transportation" sheetId="2" r:id="rId4"/>
    <sheet name="electricity" sheetId="3" r:id="rId5"/>
    <sheet name="electricity - CO2e" sheetId="4" r:id="rId6"/>
    <sheet name="data for charts" sheetId="9" r:id="rId7"/>
  </sheets>
  <definedNames>
    <definedName name="_xlnm.Print_Area" localSheetId="1">total!$A$1:$Y$87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4" i="9" l="1"/>
  <c r="P75" i="9"/>
  <c r="M75" i="9"/>
  <c r="J75" i="9"/>
  <c r="G75" i="9"/>
  <c r="Q64" i="2"/>
  <c r="Q63" i="2"/>
  <c r="Q62" i="2"/>
  <c r="Q61" i="2"/>
  <c r="Q60" i="2"/>
  <c r="Q59" i="2"/>
  <c r="Q57" i="2"/>
  <c r="Q56" i="2"/>
  <c r="Q55" i="2"/>
  <c r="Q54" i="2"/>
  <c r="Q53" i="2"/>
  <c r="Q52" i="2"/>
  <c r="Q50" i="2"/>
  <c r="Q49" i="2"/>
  <c r="Q48" i="2"/>
  <c r="Q47" i="2"/>
  <c r="Q46" i="2"/>
  <c r="Q45" i="2"/>
  <c r="Q43" i="2"/>
  <c r="Q42" i="2"/>
  <c r="Q41" i="2"/>
  <c r="Q40" i="2"/>
  <c r="Q39" i="2"/>
  <c r="Q38" i="2"/>
  <c r="Q36" i="2"/>
  <c r="Q35" i="2"/>
  <c r="Q34" i="2"/>
  <c r="Q33" i="2"/>
  <c r="Q32" i="2"/>
  <c r="Q31" i="2"/>
  <c r="Q29" i="2"/>
  <c r="Q28" i="2"/>
  <c r="Q27" i="2"/>
  <c r="Q26" i="2"/>
  <c r="Q25" i="2"/>
  <c r="Q24" i="2"/>
  <c r="Q22" i="2"/>
  <c r="Q21" i="2"/>
  <c r="Q20" i="2"/>
  <c r="Q19" i="2"/>
  <c r="Q18" i="2"/>
  <c r="Q17" i="2"/>
  <c r="Q15" i="2"/>
  <c r="Q14" i="2"/>
  <c r="Q13" i="2"/>
  <c r="Q12" i="2"/>
  <c r="Q11" i="2"/>
  <c r="Q10" i="2"/>
  <c r="Q8" i="2"/>
  <c r="Q7" i="2"/>
  <c r="Q6" i="2"/>
  <c r="Q5" i="2"/>
  <c r="Q4" i="2"/>
  <c r="Q3" i="2"/>
  <c r="M64" i="2"/>
  <c r="M63" i="2"/>
  <c r="M62" i="2"/>
  <c r="M61" i="2"/>
  <c r="M60" i="2"/>
  <c r="M59" i="2"/>
  <c r="M57" i="2"/>
  <c r="M56" i="2"/>
  <c r="M55" i="2"/>
  <c r="M54" i="2"/>
  <c r="M53" i="2"/>
  <c r="M52" i="2"/>
  <c r="M50" i="2"/>
  <c r="M49" i="2"/>
  <c r="M48" i="2"/>
  <c r="M47" i="2"/>
  <c r="M46" i="2"/>
  <c r="M45" i="2"/>
  <c r="M43" i="2"/>
  <c r="M42" i="2"/>
  <c r="M41" i="2"/>
  <c r="M40" i="2"/>
  <c r="M39" i="2"/>
  <c r="M38" i="2"/>
  <c r="M36" i="2"/>
  <c r="M35" i="2"/>
  <c r="M34" i="2"/>
  <c r="M33" i="2"/>
  <c r="M32" i="2"/>
  <c r="M31" i="2"/>
  <c r="M29" i="2"/>
  <c r="M28" i="2"/>
  <c r="M27" i="2"/>
  <c r="M26" i="2"/>
  <c r="M25" i="2"/>
  <c r="M24" i="2"/>
  <c r="M22" i="2"/>
  <c r="M21" i="2"/>
  <c r="M20" i="2"/>
  <c r="M19" i="2"/>
  <c r="M18" i="2"/>
  <c r="M17" i="2"/>
  <c r="M10" i="2"/>
  <c r="M15" i="2"/>
  <c r="M14" i="2"/>
  <c r="M13" i="2"/>
  <c r="M12" i="2"/>
  <c r="M11" i="2"/>
  <c r="M8" i="2"/>
  <c r="M7" i="2"/>
  <c r="M6" i="2"/>
  <c r="M5" i="2"/>
  <c r="M4" i="2"/>
  <c r="M3" i="2"/>
  <c r="O113" i="9"/>
  <c r="M60" i="3" l="1"/>
  <c r="M61" i="3"/>
  <c r="M62" i="3"/>
  <c r="M63" i="3"/>
  <c r="M64" i="3"/>
  <c r="M59" i="3"/>
  <c r="M53" i="3"/>
  <c r="M54" i="3"/>
  <c r="M55" i="3"/>
  <c r="M56" i="3"/>
  <c r="M57" i="3"/>
  <c r="M52" i="3"/>
  <c r="M46" i="3"/>
  <c r="M47" i="3"/>
  <c r="M48" i="3"/>
  <c r="M49" i="3"/>
  <c r="M50" i="3"/>
  <c r="M45" i="3"/>
  <c r="H45" i="1" s="1"/>
  <c r="K45" i="1" s="1"/>
  <c r="G46" i="9" s="1"/>
  <c r="M39" i="3"/>
  <c r="M40" i="3"/>
  <c r="M41" i="3"/>
  <c r="M42" i="3"/>
  <c r="M43" i="3"/>
  <c r="M38" i="3"/>
  <c r="M32" i="3"/>
  <c r="M33" i="3"/>
  <c r="M34" i="3"/>
  <c r="M35" i="3"/>
  <c r="M36" i="3"/>
  <c r="M31" i="3"/>
  <c r="H31" i="1"/>
  <c r="K31" i="1" s="1"/>
  <c r="G32" i="9" s="1"/>
  <c r="M25" i="3"/>
  <c r="M26" i="3"/>
  <c r="M27" i="3"/>
  <c r="M28" i="3"/>
  <c r="M29" i="3"/>
  <c r="M24" i="3"/>
  <c r="M18" i="3"/>
  <c r="M19" i="3"/>
  <c r="M20" i="3"/>
  <c r="M21" i="3"/>
  <c r="M22" i="3"/>
  <c r="M17" i="3"/>
  <c r="M11" i="3"/>
  <c r="M12" i="3"/>
  <c r="M13" i="3"/>
  <c r="M14" i="3"/>
  <c r="M15" i="3"/>
  <c r="M10" i="3"/>
  <c r="M5" i="3"/>
  <c r="H5" i="1" s="1"/>
  <c r="K5" i="1" s="1"/>
  <c r="G6" i="9" s="1"/>
  <c r="M6" i="3"/>
  <c r="M7" i="3"/>
  <c r="M8" i="3"/>
  <c r="M4" i="3"/>
  <c r="M3" i="3"/>
  <c r="M11" i="9"/>
  <c r="N11" i="9"/>
  <c r="M12" i="9"/>
  <c r="N12" i="9"/>
  <c r="M13" i="9"/>
  <c r="N13" i="9"/>
  <c r="M14" i="9"/>
  <c r="N14" i="9"/>
  <c r="M15" i="9"/>
  <c r="N15" i="9"/>
  <c r="M16" i="9"/>
  <c r="N16" i="9"/>
  <c r="M18" i="9"/>
  <c r="N18" i="9"/>
  <c r="M19" i="9"/>
  <c r="N19" i="9"/>
  <c r="M20" i="9"/>
  <c r="N20" i="9"/>
  <c r="M21" i="9"/>
  <c r="N21" i="9"/>
  <c r="M22" i="9"/>
  <c r="N22" i="9"/>
  <c r="M23" i="9"/>
  <c r="N23" i="9"/>
  <c r="M25" i="9"/>
  <c r="N25" i="9"/>
  <c r="M26" i="9"/>
  <c r="N26" i="9"/>
  <c r="M27" i="9"/>
  <c r="N27" i="9"/>
  <c r="M28" i="9"/>
  <c r="N28" i="9"/>
  <c r="M29" i="9"/>
  <c r="N29" i="9"/>
  <c r="M30" i="9"/>
  <c r="N30" i="9"/>
  <c r="M32" i="9"/>
  <c r="N32" i="9"/>
  <c r="M33" i="9"/>
  <c r="N33" i="9"/>
  <c r="M34" i="9"/>
  <c r="N34" i="9"/>
  <c r="M35" i="9"/>
  <c r="N35" i="9"/>
  <c r="M36" i="9"/>
  <c r="N36" i="9"/>
  <c r="M37" i="9"/>
  <c r="N37" i="9"/>
  <c r="M39" i="9"/>
  <c r="N39" i="9"/>
  <c r="M40" i="9"/>
  <c r="N40" i="9"/>
  <c r="M41" i="9"/>
  <c r="N41" i="9"/>
  <c r="M42" i="9"/>
  <c r="N42" i="9"/>
  <c r="M43" i="9"/>
  <c r="N43" i="9"/>
  <c r="M44" i="9"/>
  <c r="N44" i="9"/>
  <c r="M46" i="9"/>
  <c r="N46" i="9"/>
  <c r="M47" i="9"/>
  <c r="N47" i="9"/>
  <c r="M48" i="9"/>
  <c r="N48" i="9"/>
  <c r="M49" i="9"/>
  <c r="N49" i="9"/>
  <c r="M50" i="9"/>
  <c r="N50" i="9"/>
  <c r="M51" i="9"/>
  <c r="N51" i="9"/>
  <c r="M53" i="9"/>
  <c r="N53" i="9"/>
  <c r="M54" i="9"/>
  <c r="N54" i="9"/>
  <c r="M55" i="9"/>
  <c r="N55" i="9"/>
  <c r="M56" i="9"/>
  <c r="N56" i="9"/>
  <c r="M57" i="9"/>
  <c r="N57" i="9"/>
  <c r="M58" i="9"/>
  <c r="N58" i="9"/>
  <c r="M60" i="9"/>
  <c r="N60" i="9"/>
  <c r="M61" i="9"/>
  <c r="N61" i="9"/>
  <c r="M62" i="9"/>
  <c r="N62" i="9"/>
  <c r="M63" i="9"/>
  <c r="N63" i="9"/>
  <c r="M64" i="9"/>
  <c r="N64" i="9"/>
  <c r="M65" i="9"/>
  <c r="N65" i="9"/>
  <c r="M68" i="9"/>
  <c r="N68" i="9"/>
  <c r="M69" i="9"/>
  <c r="N69" i="9"/>
  <c r="M70" i="9"/>
  <c r="N70" i="9"/>
  <c r="M71" i="9"/>
  <c r="N71" i="9"/>
  <c r="M72" i="9"/>
  <c r="N72" i="9"/>
  <c r="M73" i="9"/>
  <c r="N73" i="9"/>
  <c r="N5" i="9"/>
  <c r="N6" i="9"/>
  <c r="N7" i="9"/>
  <c r="N8" i="9"/>
  <c r="N9" i="9"/>
  <c r="N4" i="9"/>
  <c r="M5" i="9"/>
  <c r="M6" i="9"/>
  <c r="M7" i="9"/>
  <c r="M8" i="9"/>
  <c r="M9" i="9"/>
  <c r="M4" i="9"/>
  <c r="K11" i="9"/>
  <c r="K12" i="9"/>
  <c r="K13" i="9"/>
  <c r="K14" i="9"/>
  <c r="K15" i="9"/>
  <c r="K16" i="9"/>
  <c r="K18" i="9"/>
  <c r="K19" i="9"/>
  <c r="K20" i="9"/>
  <c r="K21" i="9"/>
  <c r="K22" i="9"/>
  <c r="K23" i="9"/>
  <c r="K25" i="9"/>
  <c r="K26" i="9"/>
  <c r="K27" i="9"/>
  <c r="K28" i="9"/>
  <c r="K29" i="9"/>
  <c r="K30" i="9"/>
  <c r="K32" i="9"/>
  <c r="K33" i="9"/>
  <c r="K34" i="9"/>
  <c r="K35" i="9"/>
  <c r="K36" i="9"/>
  <c r="K37" i="9"/>
  <c r="K39" i="9"/>
  <c r="K40" i="9"/>
  <c r="K41" i="9"/>
  <c r="K42" i="9"/>
  <c r="K43" i="9"/>
  <c r="K44" i="9"/>
  <c r="K46" i="9"/>
  <c r="K47" i="9"/>
  <c r="K48" i="9"/>
  <c r="K49" i="9"/>
  <c r="K50" i="9"/>
  <c r="K51" i="9"/>
  <c r="K53" i="9"/>
  <c r="K54" i="9"/>
  <c r="K55" i="9"/>
  <c r="K56" i="9"/>
  <c r="K57" i="9"/>
  <c r="K58" i="9"/>
  <c r="K60" i="9"/>
  <c r="K61" i="9"/>
  <c r="K62" i="9"/>
  <c r="K63" i="9"/>
  <c r="K64" i="9"/>
  <c r="K65" i="9"/>
  <c r="K68" i="9"/>
  <c r="K69" i="9"/>
  <c r="K70" i="9"/>
  <c r="K71" i="9"/>
  <c r="K72" i="9"/>
  <c r="K73" i="9"/>
  <c r="J11" i="9"/>
  <c r="J12" i="9"/>
  <c r="J13" i="9"/>
  <c r="J14" i="9"/>
  <c r="J15" i="9"/>
  <c r="J16" i="9"/>
  <c r="J18" i="9"/>
  <c r="J19" i="9"/>
  <c r="J20" i="9"/>
  <c r="J21" i="9"/>
  <c r="J22" i="9"/>
  <c r="J23" i="9"/>
  <c r="J25" i="9"/>
  <c r="J26" i="9"/>
  <c r="J27" i="9"/>
  <c r="J28" i="9"/>
  <c r="J29" i="9"/>
  <c r="J30" i="9"/>
  <c r="J32" i="9"/>
  <c r="J33" i="9"/>
  <c r="J34" i="9"/>
  <c r="J35" i="9"/>
  <c r="J36" i="9"/>
  <c r="J37" i="9"/>
  <c r="J39" i="9"/>
  <c r="J40" i="9"/>
  <c r="J41" i="9"/>
  <c r="J42" i="9"/>
  <c r="J43" i="9"/>
  <c r="J44" i="9"/>
  <c r="J46" i="9"/>
  <c r="J47" i="9"/>
  <c r="J48" i="9"/>
  <c r="J49" i="9"/>
  <c r="J50" i="9"/>
  <c r="J51" i="9"/>
  <c r="J53" i="9"/>
  <c r="J54" i="9"/>
  <c r="J55" i="9"/>
  <c r="J56" i="9"/>
  <c r="J57" i="9"/>
  <c r="J58" i="9"/>
  <c r="J60" i="9"/>
  <c r="J61" i="9"/>
  <c r="J62" i="9"/>
  <c r="J63" i="9"/>
  <c r="J64" i="9"/>
  <c r="J65" i="9"/>
  <c r="J68" i="9"/>
  <c r="J69" i="9"/>
  <c r="J70" i="9"/>
  <c r="J71" i="9"/>
  <c r="J72" i="9"/>
  <c r="J73" i="9"/>
  <c r="K5" i="9"/>
  <c r="K6" i="9"/>
  <c r="K7" i="9"/>
  <c r="K8" i="9"/>
  <c r="K9" i="9"/>
  <c r="K4" i="9"/>
  <c r="J5" i="9"/>
  <c r="J6" i="9"/>
  <c r="J7" i="9"/>
  <c r="J8" i="9"/>
  <c r="J9" i="9"/>
  <c r="J4" i="9"/>
  <c r="G15" i="9"/>
  <c r="A65" i="9"/>
  <c r="A58" i="9"/>
  <c r="A51" i="9"/>
  <c r="A44" i="9"/>
  <c r="A37" i="9"/>
  <c r="A30" i="9"/>
  <c r="A23" i="9"/>
  <c r="A16" i="9"/>
  <c r="A9" i="9"/>
  <c r="K46" i="1"/>
  <c r="G47" i="9" s="1"/>
  <c r="K47" i="1"/>
  <c r="G48" i="9" s="1"/>
  <c r="J45" i="1"/>
  <c r="J46" i="1"/>
  <c r="J47" i="1"/>
  <c r="J48" i="1"/>
  <c r="J49" i="1"/>
  <c r="I45" i="1"/>
  <c r="I46" i="1"/>
  <c r="I47" i="1"/>
  <c r="I48" i="1"/>
  <c r="I49" i="1"/>
  <c r="H46" i="1"/>
  <c r="H47" i="1"/>
  <c r="H48" i="1"/>
  <c r="K48" i="1" s="1"/>
  <c r="G49" i="9" s="1"/>
  <c r="H49" i="1"/>
  <c r="K49" i="1" s="1"/>
  <c r="G50" i="9" s="1"/>
  <c r="G45" i="1"/>
  <c r="G46" i="1"/>
  <c r="G47" i="1"/>
  <c r="G48" i="1"/>
  <c r="G49" i="1"/>
  <c r="K38" i="1"/>
  <c r="G39" i="9" s="1"/>
  <c r="K40" i="1"/>
  <c r="G41" i="9" s="1"/>
  <c r="K41" i="1"/>
  <c r="G42" i="9" s="1"/>
  <c r="J38" i="1"/>
  <c r="J39" i="1"/>
  <c r="J40" i="1"/>
  <c r="J41" i="1"/>
  <c r="J42" i="1"/>
  <c r="I38" i="1"/>
  <c r="I39" i="1"/>
  <c r="I40" i="1"/>
  <c r="I41" i="1"/>
  <c r="I42" i="1"/>
  <c r="H38" i="1"/>
  <c r="H39" i="1"/>
  <c r="K39" i="1" s="1"/>
  <c r="G40" i="9" s="1"/>
  <c r="H40" i="1"/>
  <c r="H41" i="1"/>
  <c r="H42" i="1"/>
  <c r="K42" i="1" s="1"/>
  <c r="G43" i="9" s="1"/>
  <c r="G38" i="1"/>
  <c r="G39" i="1"/>
  <c r="G40" i="1"/>
  <c r="G41" i="1"/>
  <c r="G42" i="1"/>
  <c r="K32" i="1"/>
  <c r="G33" i="9" s="1"/>
  <c r="K35" i="1"/>
  <c r="G36" i="9" s="1"/>
  <c r="J31" i="1"/>
  <c r="J32" i="1"/>
  <c r="J33" i="1"/>
  <c r="J34" i="1"/>
  <c r="J35" i="1"/>
  <c r="I31" i="1"/>
  <c r="I32" i="1"/>
  <c r="I33" i="1"/>
  <c r="I34" i="1"/>
  <c r="I35" i="1"/>
  <c r="H32" i="1"/>
  <c r="H33" i="1"/>
  <c r="K33" i="1" s="1"/>
  <c r="G34" i="9" s="1"/>
  <c r="H34" i="1"/>
  <c r="K34" i="1" s="1"/>
  <c r="G35" i="9" s="1"/>
  <c r="H35" i="1"/>
  <c r="G31" i="1"/>
  <c r="G32" i="1"/>
  <c r="G33" i="1"/>
  <c r="G34" i="1"/>
  <c r="G35" i="1"/>
  <c r="G24" i="1"/>
  <c r="G25" i="1"/>
  <c r="G26" i="1"/>
  <c r="G27" i="1"/>
  <c r="G28" i="1"/>
  <c r="G17" i="1"/>
  <c r="G18" i="1"/>
  <c r="G19" i="1"/>
  <c r="G20" i="1"/>
  <c r="G21" i="1"/>
  <c r="H10" i="1"/>
  <c r="H11" i="1"/>
  <c r="H12" i="1"/>
  <c r="H13" i="1"/>
  <c r="H14" i="1"/>
  <c r="K14" i="1" s="1"/>
  <c r="G10" i="1"/>
  <c r="G11" i="1"/>
  <c r="G12" i="1"/>
  <c r="G13" i="1"/>
  <c r="G14" i="1"/>
  <c r="K6" i="1"/>
  <c r="G7" i="9" s="1"/>
  <c r="H3" i="1"/>
  <c r="K3" i="1" s="1"/>
  <c r="G4" i="9" s="1"/>
  <c r="H4" i="1"/>
  <c r="K4" i="1" s="1"/>
  <c r="G5" i="9" s="1"/>
  <c r="H6" i="1"/>
  <c r="H7" i="1"/>
  <c r="K7" i="1" s="1"/>
  <c r="G8" i="9" s="1"/>
  <c r="I3" i="1"/>
  <c r="I4" i="1"/>
  <c r="I5" i="1"/>
  <c r="I6" i="1"/>
  <c r="I7" i="1"/>
  <c r="G3" i="1"/>
  <c r="G4" i="1"/>
  <c r="G5" i="1"/>
  <c r="G6" i="1"/>
  <c r="G7" i="1"/>
  <c r="G52" i="1"/>
  <c r="G53" i="1"/>
  <c r="G54" i="1"/>
  <c r="G55" i="1"/>
  <c r="G56" i="1"/>
  <c r="G59" i="1"/>
  <c r="G60" i="1"/>
  <c r="G61" i="1"/>
  <c r="G62" i="1"/>
  <c r="G63" i="1"/>
  <c r="K61" i="1"/>
  <c r="G62" i="9" s="1"/>
  <c r="J59" i="1"/>
  <c r="J60" i="1"/>
  <c r="J61" i="1"/>
  <c r="J62" i="1"/>
  <c r="J63" i="1"/>
  <c r="I59" i="1"/>
  <c r="I60" i="1"/>
  <c r="I61" i="1"/>
  <c r="I62" i="1"/>
  <c r="I63" i="1"/>
  <c r="H59" i="1"/>
  <c r="K59" i="1" s="1"/>
  <c r="G60" i="9" s="1"/>
  <c r="H60" i="1"/>
  <c r="K60" i="1" s="1"/>
  <c r="G61" i="9" s="1"/>
  <c r="H61" i="1"/>
  <c r="H62" i="1"/>
  <c r="K62" i="1" s="1"/>
  <c r="G63" i="9" s="1"/>
  <c r="H63" i="1"/>
  <c r="K63" i="1" s="1"/>
  <c r="G64" i="9" s="1"/>
  <c r="J3" i="1"/>
  <c r="J4" i="1"/>
  <c r="J5" i="1"/>
  <c r="J6" i="1"/>
  <c r="J7" i="1"/>
  <c r="H52" i="1"/>
  <c r="H53" i="1"/>
  <c r="K53" i="1" s="1"/>
  <c r="G54" i="9" s="1"/>
  <c r="H54" i="1"/>
  <c r="H55" i="1"/>
  <c r="H56" i="1"/>
  <c r="I52" i="1"/>
  <c r="I53" i="1"/>
  <c r="I54" i="1"/>
  <c r="I55" i="1"/>
  <c r="I56" i="1"/>
  <c r="J52" i="1"/>
  <c r="J53" i="1"/>
  <c r="J54" i="1"/>
  <c r="J55" i="1"/>
  <c r="J56" i="1"/>
  <c r="J24" i="1"/>
  <c r="J25" i="1"/>
  <c r="J26" i="1"/>
  <c r="J27" i="1"/>
  <c r="J28" i="1"/>
  <c r="I24" i="1"/>
  <c r="I25" i="1"/>
  <c r="I26" i="1"/>
  <c r="I27" i="1"/>
  <c r="I28" i="1"/>
  <c r="H29" i="1"/>
  <c r="I17" i="1"/>
  <c r="I18" i="1"/>
  <c r="I19" i="1"/>
  <c r="I20" i="1"/>
  <c r="I21" i="1"/>
  <c r="J17" i="1"/>
  <c r="J18" i="1"/>
  <c r="J19" i="1"/>
  <c r="J20" i="1"/>
  <c r="J21" i="1"/>
  <c r="I10" i="1"/>
  <c r="I11" i="1"/>
  <c r="I12" i="1"/>
  <c r="I13" i="1"/>
  <c r="K13" i="1" s="1"/>
  <c r="G14" i="9" s="1"/>
  <c r="I14" i="1"/>
  <c r="J10" i="1"/>
  <c r="J11" i="1"/>
  <c r="J12" i="1"/>
  <c r="J13" i="1"/>
  <c r="J14" i="1"/>
  <c r="H72" i="3"/>
  <c r="J68" i="3"/>
  <c r="J69" i="3"/>
  <c r="J70" i="3"/>
  <c r="J71" i="3"/>
  <c r="J72" i="3"/>
  <c r="J67" i="3"/>
  <c r="N68" i="3"/>
  <c r="N69" i="3"/>
  <c r="N70" i="3"/>
  <c r="N71" i="3"/>
  <c r="N72" i="3"/>
  <c r="M72" i="3"/>
  <c r="L69" i="3"/>
  <c r="L70" i="3"/>
  <c r="L71" i="3"/>
  <c r="N67" i="3"/>
  <c r="L10" i="3"/>
  <c r="L11" i="3"/>
  <c r="L12" i="3"/>
  <c r="L13" i="3"/>
  <c r="L53" i="3"/>
  <c r="L54" i="3"/>
  <c r="L55" i="3"/>
  <c r="L56" i="3"/>
  <c r="L57" i="3"/>
  <c r="L25" i="3"/>
  <c r="L26" i="3"/>
  <c r="L27" i="3"/>
  <c r="L28" i="3"/>
  <c r="L24" i="3"/>
  <c r="L19" i="3"/>
  <c r="L20" i="3"/>
  <c r="L21" i="3"/>
  <c r="F57" i="3"/>
  <c r="H57" i="3" s="1"/>
  <c r="F56" i="3"/>
  <c r="H56" i="3" s="1"/>
  <c r="F55" i="3"/>
  <c r="H55" i="3" s="1"/>
  <c r="F54" i="3"/>
  <c r="H54" i="3" s="1"/>
  <c r="H53" i="3"/>
  <c r="F53" i="3"/>
  <c r="N53" i="3" s="1"/>
  <c r="F52" i="3"/>
  <c r="F27" i="3"/>
  <c r="H27" i="3" s="1"/>
  <c r="F24" i="3"/>
  <c r="H24" i="3" s="1"/>
  <c r="J29" i="3"/>
  <c r="F29" i="3" s="1"/>
  <c r="H29" i="3" s="1"/>
  <c r="J28" i="3"/>
  <c r="F28" i="3" s="1"/>
  <c r="H28" i="3" s="1"/>
  <c r="J27" i="3"/>
  <c r="J26" i="3"/>
  <c r="F26" i="3" s="1"/>
  <c r="H26" i="3" s="1"/>
  <c r="J25" i="3"/>
  <c r="F25" i="3" s="1"/>
  <c r="H25" i="3" s="1"/>
  <c r="J24" i="3"/>
  <c r="J22" i="3"/>
  <c r="F22" i="3" s="1"/>
  <c r="H22" i="3" s="1"/>
  <c r="J21" i="3"/>
  <c r="F21" i="3" s="1"/>
  <c r="H21" i="3" s="1"/>
  <c r="J20" i="3"/>
  <c r="F20" i="3" s="1"/>
  <c r="H20" i="3" s="1"/>
  <c r="J19" i="3"/>
  <c r="F19" i="3" s="1"/>
  <c r="H19" i="3" s="1"/>
  <c r="J18" i="3"/>
  <c r="J17" i="3"/>
  <c r="J15" i="3"/>
  <c r="J14" i="3"/>
  <c r="J13" i="3"/>
  <c r="F13" i="3" s="1"/>
  <c r="J12" i="3"/>
  <c r="F12" i="3" s="1"/>
  <c r="J11" i="3"/>
  <c r="F11" i="3" s="1"/>
  <c r="J10" i="3"/>
  <c r="F10" i="3" s="1"/>
  <c r="J35" i="3"/>
  <c r="A73" i="9" l="1"/>
  <c r="I69" i="1"/>
  <c r="I68" i="1"/>
  <c r="I67" i="1"/>
  <c r="I70" i="1"/>
  <c r="J69" i="1"/>
  <c r="J67" i="1"/>
  <c r="K52" i="1"/>
  <c r="G53" i="9" s="1"/>
  <c r="K54" i="1"/>
  <c r="G55" i="9" s="1"/>
  <c r="K12" i="1"/>
  <c r="G13" i="9" s="1"/>
  <c r="K11" i="1"/>
  <c r="G12" i="9" s="1"/>
  <c r="I71" i="1"/>
  <c r="J71" i="1"/>
  <c r="J70" i="1"/>
  <c r="J68" i="1"/>
  <c r="K10" i="1"/>
  <c r="G11" i="9" s="1"/>
  <c r="K56" i="1"/>
  <c r="G57" i="9" s="1"/>
  <c r="K55" i="1"/>
  <c r="G56" i="9" s="1"/>
  <c r="J34" i="3"/>
  <c r="J33" i="3" l="1"/>
  <c r="F59" i="3" l="1"/>
  <c r="L50" i="3"/>
  <c r="J49" i="3"/>
  <c r="L49" i="3" s="1"/>
  <c r="J48" i="3" l="1"/>
  <c r="L48" i="3" s="1"/>
  <c r="F48" i="3" l="1"/>
  <c r="H48" i="3" s="1"/>
  <c r="F49" i="3"/>
  <c r="H49" i="3" s="1"/>
  <c r="J43" i="3" l="1"/>
  <c r="F35" i="3" l="1"/>
  <c r="F34" i="3"/>
  <c r="F33" i="3"/>
  <c r="N24" i="3"/>
  <c r="F60" i="3" l="1"/>
  <c r="F43" i="3" l="1"/>
  <c r="F41" i="3"/>
  <c r="F40" i="3"/>
  <c r="F18" i="3" l="1"/>
  <c r="F17" i="3" l="1"/>
  <c r="F15" i="3" l="1"/>
  <c r="F14" i="3"/>
  <c r="F7" i="3"/>
  <c r="F3" i="3"/>
  <c r="J64" i="3"/>
  <c r="F64" i="3" s="1"/>
  <c r="J63" i="3" l="1"/>
  <c r="F63" i="3" s="1"/>
  <c r="J62" i="3"/>
  <c r="F62" i="3" s="1"/>
  <c r="J61" i="3"/>
  <c r="F61" i="3" s="1"/>
  <c r="H64" i="3" l="1"/>
  <c r="F70" i="3"/>
  <c r="F68" i="3"/>
  <c r="H40" i="3"/>
  <c r="F69" i="3"/>
  <c r="N29" i="3"/>
  <c r="I29" i="1" s="1"/>
  <c r="J50" i="1"/>
  <c r="G64" i="1"/>
  <c r="G57" i="1"/>
  <c r="G50" i="1"/>
  <c r="G43" i="1"/>
  <c r="G36" i="1"/>
  <c r="G29" i="1"/>
  <c r="G22" i="1"/>
  <c r="G15" i="1"/>
  <c r="G8" i="1"/>
  <c r="D72" i="3"/>
  <c r="G72" i="1" s="1"/>
  <c r="H43" i="1"/>
  <c r="N22" i="3"/>
  <c r="I22" i="1" s="1"/>
  <c r="H15" i="3"/>
  <c r="H15" i="1" s="1"/>
  <c r="N64" i="3"/>
  <c r="I64" i="1" s="1"/>
  <c r="N43" i="3"/>
  <c r="I43" i="1" s="1"/>
  <c r="H18" i="3"/>
  <c r="H57" i="1"/>
  <c r="F98" i="4"/>
  <c r="N57" i="3" l="1"/>
  <c r="I57" i="1" s="1"/>
  <c r="J57" i="1"/>
  <c r="H63" i="3"/>
  <c r="H64" i="1"/>
  <c r="H22" i="1"/>
  <c r="N15" i="3"/>
  <c r="I15" i="1" s="1"/>
  <c r="B112" i="4"/>
  <c r="K50" i="3"/>
  <c r="B111" i="4"/>
  <c r="C112" i="4" l="1"/>
  <c r="K57" i="1"/>
  <c r="O57" i="3"/>
  <c r="P57" i="3"/>
  <c r="R57" i="3" s="1"/>
  <c r="C111" i="4"/>
  <c r="V44" i="4"/>
  <c r="D104" i="4"/>
  <c r="H104" i="4"/>
  <c r="J104" i="4" s="1"/>
  <c r="B115" i="4" l="1"/>
  <c r="G58" i="9"/>
  <c r="L57" i="1"/>
  <c r="H58" i="9" s="1"/>
  <c r="V17" i="4"/>
  <c r="V18" i="4" s="1"/>
  <c r="V51" i="4"/>
  <c r="K8" i="3" s="1"/>
  <c r="J50" i="3"/>
  <c r="F50" i="3" s="1"/>
  <c r="K22" i="3" l="1"/>
  <c r="K15" i="3"/>
  <c r="L15" i="3" s="1"/>
  <c r="K29" i="3"/>
  <c r="L29" i="3" s="1"/>
  <c r="H50" i="3"/>
  <c r="N50" i="3"/>
  <c r="I50" i="1" s="1"/>
  <c r="J29" i="1" l="1"/>
  <c r="K29" i="1" s="1"/>
  <c r="P29" i="3"/>
  <c r="R29" i="3" s="1"/>
  <c r="O29" i="3"/>
  <c r="J15" i="1"/>
  <c r="K15" i="1" s="1"/>
  <c r="O15" i="3"/>
  <c r="P15" i="3"/>
  <c r="R15" i="3" s="1"/>
  <c r="L22" i="3"/>
  <c r="H50" i="1"/>
  <c r="K50" i="1" s="1"/>
  <c r="G51" i="9" s="1"/>
  <c r="O50" i="3"/>
  <c r="P50" i="3"/>
  <c r="R50" i="3" s="1"/>
  <c r="J36" i="3"/>
  <c r="F36" i="3" s="1"/>
  <c r="P22" i="3" l="1"/>
  <c r="R22" i="3" s="1"/>
  <c r="O22" i="3"/>
  <c r="J22" i="1"/>
  <c r="K22" i="1" s="1"/>
  <c r="G16" i="9"/>
  <c r="L15" i="1"/>
  <c r="H16" i="9" s="1"/>
  <c r="G30" i="9"/>
  <c r="L29" i="1"/>
  <c r="H30" i="9" s="1"/>
  <c r="L50" i="1"/>
  <c r="H51" i="9" s="1"/>
  <c r="H36" i="3"/>
  <c r="H36" i="1" s="1"/>
  <c r="N36" i="3"/>
  <c r="I36" i="1" s="1"/>
  <c r="A72" i="3"/>
  <c r="L22" i="1" l="1"/>
  <c r="H23" i="9" s="1"/>
  <c r="G23" i="9"/>
  <c r="J8" i="3"/>
  <c r="F8" i="3" l="1"/>
  <c r="L8" i="3"/>
  <c r="V54" i="4"/>
  <c r="T54" i="4"/>
  <c r="J8" i="1" l="1"/>
  <c r="H8" i="3"/>
  <c r="H8" i="1" s="1"/>
  <c r="H72" i="1" s="1"/>
  <c r="F72" i="3"/>
  <c r="N8" i="3"/>
  <c r="I8" i="1" s="1"/>
  <c r="I72" i="1" s="1"/>
  <c r="V47" i="4"/>
  <c r="V49" i="4"/>
  <c r="V50" i="4"/>
  <c r="T47" i="4"/>
  <c r="T49" i="4"/>
  <c r="T50" i="4"/>
  <c r="P8" i="3" l="1"/>
  <c r="O8" i="3"/>
  <c r="K8" i="1"/>
  <c r="G9" i="9" s="1"/>
  <c r="V43" i="4"/>
  <c r="V42" i="4"/>
  <c r="T42" i="4"/>
  <c r="T43" i="4"/>
  <c r="L8" i="1" l="1"/>
  <c r="H9" i="9" s="1"/>
  <c r="R8" i="3"/>
  <c r="T37" i="4"/>
  <c r="V37" i="4"/>
  <c r="T36" i="4"/>
  <c r="V36" i="4"/>
  <c r="V38" i="4" l="1"/>
  <c r="K43" i="3" s="1"/>
  <c r="L43" i="3" s="1"/>
  <c r="V29" i="4"/>
  <c r="V30" i="4"/>
  <c r="T29" i="4"/>
  <c r="T30" i="4"/>
  <c r="J43" i="1" l="1"/>
  <c r="K43" i="1" s="1"/>
  <c r="G44" i="9" s="1"/>
  <c r="P43" i="3"/>
  <c r="R43" i="3" s="1"/>
  <c r="O43" i="3"/>
  <c r="V31" i="4"/>
  <c r="K36" i="3" s="1"/>
  <c r="L36" i="3" s="1"/>
  <c r="V24" i="4"/>
  <c r="K64" i="3" s="1"/>
  <c r="L64" i="3" s="1"/>
  <c r="T24" i="4"/>
  <c r="L72" i="3" l="1"/>
  <c r="J64" i="1"/>
  <c r="K64" i="1" s="1"/>
  <c r="G65" i="9" s="1"/>
  <c r="P64" i="3"/>
  <c r="R64" i="3" s="1"/>
  <c r="O64" i="3"/>
  <c r="J36" i="1"/>
  <c r="O36" i="3"/>
  <c r="P36" i="3"/>
  <c r="L43" i="1"/>
  <c r="H44" i="9" s="1"/>
  <c r="T16" i="4"/>
  <c r="T17" i="4"/>
  <c r="V16" i="4"/>
  <c r="O72" i="3" l="1"/>
  <c r="K36" i="1"/>
  <c r="J72" i="1"/>
  <c r="R36" i="3"/>
  <c r="P72" i="3"/>
  <c r="R72" i="3" s="1"/>
  <c r="L64" i="1"/>
  <c r="H65" i="9" s="1"/>
  <c r="V9" i="4"/>
  <c r="T9" i="4"/>
  <c r="K72" i="1" l="1"/>
  <c r="G73" i="9" s="1"/>
  <c r="G37" i="9"/>
  <c r="L36" i="1"/>
  <c r="H37" i="9" s="1"/>
  <c r="C72" i="1"/>
  <c r="C64" i="1"/>
  <c r="C63" i="1"/>
  <c r="C57" i="1"/>
  <c r="C56" i="1"/>
  <c r="C50" i="1"/>
  <c r="C49" i="1"/>
  <c r="C43" i="1"/>
  <c r="C42" i="1"/>
  <c r="C36" i="1"/>
  <c r="C35" i="1"/>
  <c r="C29" i="1"/>
  <c r="C28" i="1"/>
  <c r="C22" i="1"/>
  <c r="C21" i="1"/>
  <c r="C15" i="1"/>
  <c r="C14" i="1"/>
  <c r="C8" i="1"/>
  <c r="C7" i="1"/>
  <c r="Q72" i="2"/>
  <c r="M72" i="2"/>
  <c r="G57" i="2"/>
  <c r="G36" i="2"/>
  <c r="F72" i="2"/>
  <c r="F64" i="2"/>
  <c r="E64" i="2" s="1"/>
  <c r="F57" i="2"/>
  <c r="E57" i="2" s="1"/>
  <c r="F50" i="2"/>
  <c r="E50" i="2" s="1"/>
  <c r="F43" i="2"/>
  <c r="E43" i="2" s="1"/>
  <c r="F36" i="2"/>
  <c r="E36" i="2" s="1"/>
  <c r="F29" i="2"/>
  <c r="E29" i="2" s="1"/>
  <c r="G29" i="2" s="1"/>
  <c r="F22" i="2"/>
  <c r="E22" i="2" s="1"/>
  <c r="G22" i="2" s="1"/>
  <c r="C72" i="2"/>
  <c r="S57" i="2"/>
  <c r="S22" i="2"/>
  <c r="S50" i="2"/>
  <c r="S43" i="2"/>
  <c r="T57" i="2" l="1"/>
  <c r="E58" i="9" s="1"/>
  <c r="D57" i="1"/>
  <c r="E57" i="1" s="1"/>
  <c r="D58" i="9"/>
  <c r="T50" i="2"/>
  <c r="E51" i="9" s="1"/>
  <c r="D50" i="1"/>
  <c r="E50" i="1" s="1"/>
  <c r="D51" i="9"/>
  <c r="T43" i="2"/>
  <c r="E44" i="9" s="1"/>
  <c r="Q44" i="9" s="1"/>
  <c r="D43" i="1"/>
  <c r="E43" i="1" s="1"/>
  <c r="D44" i="9"/>
  <c r="M87" i="9" s="1"/>
  <c r="T22" i="2"/>
  <c r="E23" i="9" s="1"/>
  <c r="D22" i="1"/>
  <c r="E22" i="1" s="1"/>
  <c r="D23" i="9"/>
  <c r="J87" i="9" s="1"/>
  <c r="G64" i="2"/>
  <c r="V57" i="1"/>
  <c r="X57" i="1" s="1"/>
  <c r="Q58" i="9"/>
  <c r="V50" i="1"/>
  <c r="X50" i="1" s="1"/>
  <c r="Q51" i="9"/>
  <c r="G50" i="2"/>
  <c r="P44" i="9"/>
  <c r="G43" i="2"/>
  <c r="L72" i="1"/>
  <c r="H73" i="9" s="1"/>
  <c r="S29" i="2"/>
  <c r="S64" i="2"/>
  <c r="S36" i="2"/>
  <c r="F15" i="2"/>
  <c r="E15" i="2" s="1"/>
  <c r="A72" i="2"/>
  <c r="F8" i="2"/>
  <c r="E8" i="2" s="1"/>
  <c r="R72" i="1"/>
  <c r="S72" i="1" s="1"/>
  <c r="S64" i="1"/>
  <c r="T64" i="1" s="1"/>
  <c r="S57" i="1"/>
  <c r="T57" i="1" s="1"/>
  <c r="S50" i="1"/>
  <c r="T50" i="1" s="1"/>
  <c r="S43" i="1"/>
  <c r="T43" i="1"/>
  <c r="S36" i="1"/>
  <c r="T36" i="1" s="1"/>
  <c r="S29" i="1"/>
  <c r="T29" i="1" s="1"/>
  <c r="S22" i="1"/>
  <c r="T22" i="1" s="1"/>
  <c r="S15" i="1"/>
  <c r="T15" i="1" s="1"/>
  <c r="N72" i="1"/>
  <c r="O72" i="1" s="1"/>
  <c r="O64" i="1"/>
  <c r="P64" i="1"/>
  <c r="O57" i="1"/>
  <c r="P57" i="1" s="1"/>
  <c r="O50" i="1"/>
  <c r="P50" i="1" s="1"/>
  <c r="O43" i="1"/>
  <c r="P43" i="1" s="1"/>
  <c r="O36" i="1"/>
  <c r="P36" i="1" s="1"/>
  <c r="O29" i="1"/>
  <c r="P29" i="1" s="1"/>
  <c r="O22" i="1"/>
  <c r="P22" i="1" s="1"/>
  <c r="O15" i="1"/>
  <c r="P15" i="1" s="1"/>
  <c r="A72" i="1"/>
  <c r="S8" i="1"/>
  <c r="T8" i="1" s="1"/>
  <c r="O8" i="1"/>
  <c r="P8" i="1" s="1"/>
  <c r="S63" i="2"/>
  <c r="S62" i="2"/>
  <c r="S61" i="2"/>
  <c r="S60" i="2"/>
  <c r="S59" i="2"/>
  <c r="S56" i="2"/>
  <c r="S55" i="2"/>
  <c r="S54" i="2"/>
  <c r="S53" i="2"/>
  <c r="S52" i="2"/>
  <c r="S48" i="2"/>
  <c r="S47" i="2"/>
  <c r="S46" i="2"/>
  <c r="S45" i="2"/>
  <c r="S42" i="2"/>
  <c r="S41" i="2"/>
  <c r="S40" i="2"/>
  <c r="S38" i="2"/>
  <c r="S35" i="2"/>
  <c r="S34" i="2"/>
  <c r="S33" i="2"/>
  <c r="S32" i="2"/>
  <c r="S31" i="2"/>
  <c r="S28" i="2"/>
  <c r="S27" i="2"/>
  <c r="S26" i="2"/>
  <c r="S25" i="2"/>
  <c r="S24" i="2"/>
  <c r="S20" i="2"/>
  <c r="S19" i="2"/>
  <c r="S17" i="2"/>
  <c r="P58" i="9" l="1"/>
  <c r="O87" i="9"/>
  <c r="P51" i="9"/>
  <c r="N87" i="9"/>
  <c r="V43" i="1"/>
  <c r="X43" i="1" s="1"/>
  <c r="T60" i="2"/>
  <c r="E61" i="9" s="1"/>
  <c r="D60" i="1"/>
  <c r="E60" i="1" s="1"/>
  <c r="D61" i="9"/>
  <c r="T59" i="2"/>
  <c r="E60" i="9" s="1"/>
  <c r="D59" i="1"/>
  <c r="E59" i="1" s="1"/>
  <c r="D60" i="9"/>
  <c r="T61" i="2"/>
  <c r="E62" i="9" s="1"/>
  <c r="D61" i="1"/>
  <c r="E61" i="1" s="1"/>
  <c r="D62" i="9"/>
  <c r="T64" i="2"/>
  <c r="E65" i="9" s="1"/>
  <c r="Q65" i="9" s="1"/>
  <c r="D64" i="1"/>
  <c r="D65" i="9"/>
  <c r="T63" i="2"/>
  <c r="E64" i="9" s="1"/>
  <c r="D63" i="1"/>
  <c r="E63" i="1" s="1"/>
  <c r="D64" i="9"/>
  <c r="P86" i="9" s="1"/>
  <c r="T62" i="2"/>
  <c r="E63" i="9" s="1"/>
  <c r="D62" i="1"/>
  <c r="E62" i="1" s="1"/>
  <c r="D63" i="9"/>
  <c r="T56" i="2"/>
  <c r="E57" i="9" s="1"/>
  <c r="D56" i="1"/>
  <c r="E56" i="1" s="1"/>
  <c r="D57" i="9"/>
  <c r="O86" i="9" s="1"/>
  <c r="T52" i="2"/>
  <c r="E53" i="9" s="1"/>
  <c r="D52" i="1"/>
  <c r="E52" i="1" s="1"/>
  <c r="D53" i="9"/>
  <c r="T53" i="2"/>
  <c r="E54" i="9" s="1"/>
  <c r="D53" i="1"/>
  <c r="E53" i="1" s="1"/>
  <c r="D54" i="9"/>
  <c r="T54" i="2"/>
  <c r="E55" i="9" s="1"/>
  <c r="D54" i="1"/>
  <c r="E54" i="1" s="1"/>
  <c r="D55" i="9"/>
  <c r="T55" i="2"/>
  <c r="E56" i="9" s="1"/>
  <c r="D55" i="1"/>
  <c r="E55" i="1" s="1"/>
  <c r="D56" i="9"/>
  <c r="T47" i="2"/>
  <c r="E48" i="9" s="1"/>
  <c r="D47" i="1"/>
  <c r="E47" i="1" s="1"/>
  <c r="D48" i="9"/>
  <c r="T45" i="2"/>
  <c r="E46" i="9" s="1"/>
  <c r="D45" i="1"/>
  <c r="E45" i="1" s="1"/>
  <c r="D46" i="9"/>
  <c r="T46" i="2"/>
  <c r="E47" i="9" s="1"/>
  <c r="D46" i="1"/>
  <c r="E46" i="1" s="1"/>
  <c r="D47" i="9"/>
  <c r="T48" i="2"/>
  <c r="E49" i="9" s="1"/>
  <c r="D48" i="1"/>
  <c r="E48" i="1" s="1"/>
  <c r="D49" i="9"/>
  <c r="T41" i="2"/>
  <c r="E42" i="9" s="1"/>
  <c r="D41" i="1"/>
  <c r="E41" i="1" s="1"/>
  <c r="D42" i="9"/>
  <c r="T40" i="2"/>
  <c r="E41" i="9" s="1"/>
  <c r="D40" i="1"/>
  <c r="E40" i="1" s="1"/>
  <c r="D41" i="9"/>
  <c r="T42" i="2"/>
  <c r="E43" i="9" s="1"/>
  <c r="D42" i="1"/>
  <c r="E42" i="1" s="1"/>
  <c r="D43" i="9"/>
  <c r="M86" i="9" s="1"/>
  <c r="T38" i="2"/>
  <c r="E39" i="9" s="1"/>
  <c r="D38" i="1"/>
  <c r="E38" i="1" s="1"/>
  <c r="D39" i="9"/>
  <c r="T24" i="2"/>
  <c r="E25" i="9" s="1"/>
  <c r="D24" i="1"/>
  <c r="E24" i="1" s="1"/>
  <c r="D25" i="9"/>
  <c r="K82" i="9" s="1"/>
  <c r="T27" i="2"/>
  <c r="E28" i="9" s="1"/>
  <c r="D27" i="1"/>
  <c r="E27" i="1" s="1"/>
  <c r="D28" i="9"/>
  <c r="K85" i="9" s="1"/>
  <c r="T26" i="2"/>
  <c r="E27" i="9" s="1"/>
  <c r="D26" i="1"/>
  <c r="E26" i="1" s="1"/>
  <c r="D27" i="9"/>
  <c r="K84" i="9" s="1"/>
  <c r="T29" i="2"/>
  <c r="E30" i="9" s="1"/>
  <c r="D29" i="1"/>
  <c r="E29" i="1" s="1"/>
  <c r="D30" i="9"/>
  <c r="K87" i="9" s="1"/>
  <c r="T25" i="2"/>
  <c r="E26" i="9" s="1"/>
  <c r="D25" i="1"/>
  <c r="E25" i="1" s="1"/>
  <c r="D26" i="9"/>
  <c r="K83" i="9" s="1"/>
  <c r="T28" i="2"/>
  <c r="E29" i="9" s="1"/>
  <c r="D28" i="1"/>
  <c r="E28" i="1" s="1"/>
  <c r="D29" i="9"/>
  <c r="K86" i="9" s="1"/>
  <c r="T31" i="2"/>
  <c r="E32" i="9" s="1"/>
  <c r="D31" i="1"/>
  <c r="E31" i="1" s="1"/>
  <c r="D32" i="9"/>
  <c r="T32" i="2"/>
  <c r="E33" i="9" s="1"/>
  <c r="D32" i="1"/>
  <c r="E32" i="1" s="1"/>
  <c r="D33" i="9"/>
  <c r="T34" i="2"/>
  <c r="E35" i="9" s="1"/>
  <c r="D34" i="1"/>
  <c r="E34" i="1" s="1"/>
  <c r="D35" i="9"/>
  <c r="T33" i="2"/>
  <c r="E34" i="9" s="1"/>
  <c r="D33" i="1"/>
  <c r="E33" i="1" s="1"/>
  <c r="D34" i="9"/>
  <c r="T35" i="2"/>
  <c r="E36" i="9" s="1"/>
  <c r="D35" i="1"/>
  <c r="E35" i="1" s="1"/>
  <c r="D36" i="9"/>
  <c r="L86" i="9" s="1"/>
  <c r="T36" i="2"/>
  <c r="E37" i="9" s="1"/>
  <c r="Q37" i="9" s="1"/>
  <c r="D36" i="1"/>
  <c r="D37" i="9"/>
  <c r="T19" i="2"/>
  <c r="E20" i="9" s="1"/>
  <c r="D19" i="1"/>
  <c r="E19" i="1" s="1"/>
  <c r="D20" i="9"/>
  <c r="J84" i="9" s="1"/>
  <c r="T17" i="2"/>
  <c r="E18" i="9" s="1"/>
  <c r="D17" i="1"/>
  <c r="E17" i="1" s="1"/>
  <c r="D18" i="9"/>
  <c r="J82" i="9" s="1"/>
  <c r="T20" i="2"/>
  <c r="E21" i="9" s="1"/>
  <c r="D20" i="1"/>
  <c r="E20" i="1" s="1"/>
  <c r="D21" i="9"/>
  <c r="J85" i="9" s="1"/>
  <c r="Q30" i="9"/>
  <c r="P30" i="9"/>
  <c r="V29" i="1"/>
  <c r="X29" i="1" s="1"/>
  <c r="Q23" i="9"/>
  <c r="P23" i="9"/>
  <c r="V22" i="1"/>
  <c r="X22" i="1" s="1"/>
  <c r="G15" i="2"/>
  <c r="G8" i="2"/>
  <c r="P72" i="1"/>
  <c r="T72" i="1"/>
  <c r="E72" i="2"/>
  <c r="S18" i="2"/>
  <c r="S39" i="2"/>
  <c r="S15" i="2"/>
  <c r="S8" i="2"/>
  <c r="S21" i="2"/>
  <c r="S49" i="2"/>
  <c r="S14" i="2"/>
  <c r="S13" i="2"/>
  <c r="S12" i="2"/>
  <c r="S11" i="2"/>
  <c r="S10" i="2"/>
  <c r="Q71" i="2"/>
  <c r="Q70" i="2"/>
  <c r="Q69" i="2"/>
  <c r="Q68" i="2"/>
  <c r="P61" i="9" l="1"/>
  <c r="P83" i="9"/>
  <c r="P63" i="9"/>
  <c r="P85" i="9"/>
  <c r="P62" i="9"/>
  <c r="P84" i="9"/>
  <c r="P65" i="9"/>
  <c r="P87" i="9"/>
  <c r="P60" i="9"/>
  <c r="P82" i="9"/>
  <c r="P54" i="9"/>
  <c r="O83" i="9"/>
  <c r="P53" i="9"/>
  <c r="O82" i="9"/>
  <c r="P55" i="9"/>
  <c r="O84" i="9"/>
  <c r="P56" i="9"/>
  <c r="O85" i="9"/>
  <c r="P49" i="9"/>
  <c r="N85" i="9"/>
  <c r="P48" i="9"/>
  <c r="N84" i="9"/>
  <c r="P46" i="9"/>
  <c r="N82" i="9"/>
  <c r="P47" i="9"/>
  <c r="N83" i="9"/>
  <c r="P41" i="9"/>
  <c r="M84" i="9"/>
  <c r="P39" i="9"/>
  <c r="M82" i="9"/>
  <c r="P42" i="9"/>
  <c r="M85" i="9"/>
  <c r="P33" i="9"/>
  <c r="L83" i="9"/>
  <c r="P34" i="9"/>
  <c r="L84" i="9"/>
  <c r="P35" i="9"/>
  <c r="L85" i="9"/>
  <c r="P32" i="9"/>
  <c r="L82" i="9"/>
  <c r="P37" i="9"/>
  <c r="L87" i="9"/>
  <c r="E64" i="1"/>
  <c r="V64" i="1"/>
  <c r="X64" i="1" s="1"/>
  <c r="T49" i="2"/>
  <c r="E50" i="9" s="1"/>
  <c r="D49" i="1"/>
  <c r="E49" i="1" s="1"/>
  <c r="D50" i="9"/>
  <c r="N86" i="9" s="1"/>
  <c r="T39" i="2"/>
  <c r="E40" i="9" s="1"/>
  <c r="D39" i="1"/>
  <c r="E39" i="1" s="1"/>
  <c r="D40" i="9"/>
  <c r="E36" i="1"/>
  <c r="V36" i="1"/>
  <c r="X36" i="1" s="1"/>
  <c r="T21" i="2"/>
  <c r="E22" i="9" s="1"/>
  <c r="D21" i="1"/>
  <c r="E21" i="1" s="1"/>
  <c r="D22" i="9"/>
  <c r="J86" i="9" s="1"/>
  <c r="T18" i="2"/>
  <c r="E19" i="9" s="1"/>
  <c r="D18" i="1"/>
  <c r="E18" i="1" s="1"/>
  <c r="D19" i="9"/>
  <c r="J83" i="9" s="1"/>
  <c r="T13" i="2"/>
  <c r="E14" i="9" s="1"/>
  <c r="D13" i="1"/>
  <c r="E13" i="1" s="1"/>
  <c r="D14" i="9"/>
  <c r="T14" i="2"/>
  <c r="E15" i="9" s="1"/>
  <c r="D14" i="1"/>
  <c r="E14" i="1" s="1"/>
  <c r="D15" i="9"/>
  <c r="I86" i="9" s="1"/>
  <c r="T10" i="2"/>
  <c r="E11" i="9" s="1"/>
  <c r="D10" i="1"/>
  <c r="E10" i="1" s="1"/>
  <c r="D11" i="9"/>
  <c r="T15" i="2"/>
  <c r="E16" i="9" s="1"/>
  <c r="Q16" i="9" s="1"/>
  <c r="D15" i="1"/>
  <c r="E15" i="1" s="1"/>
  <c r="D16" i="9"/>
  <c r="T11" i="2"/>
  <c r="E12" i="9" s="1"/>
  <c r="D11" i="1"/>
  <c r="E11" i="1" s="1"/>
  <c r="D12" i="9"/>
  <c r="T12" i="2"/>
  <c r="E13" i="9" s="1"/>
  <c r="D12" i="1"/>
  <c r="E12" i="1" s="1"/>
  <c r="D13" i="9"/>
  <c r="T8" i="2"/>
  <c r="E9" i="9" s="1"/>
  <c r="Q9" i="9" s="1"/>
  <c r="D8" i="1"/>
  <c r="E8" i="1" s="1"/>
  <c r="D9" i="9"/>
  <c r="S72" i="2"/>
  <c r="V15" i="1"/>
  <c r="X15" i="1" s="1"/>
  <c r="G72" i="2"/>
  <c r="M70" i="2"/>
  <c r="M67" i="2"/>
  <c r="S5" i="2"/>
  <c r="M69" i="2"/>
  <c r="S3" i="2"/>
  <c r="Q67" i="2"/>
  <c r="S4" i="2"/>
  <c r="M68" i="2"/>
  <c r="S6" i="2"/>
  <c r="S7" i="2"/>
  <c r="M71" i="2"/>
  <c r="A72" i="9"/>
  <c r="A71" i="9"/>
  <c r="A70" i="9"/>
  <c r="A69" i="9"/>
  <c r="A68" i="9"/>
  <c r="L63" i="3"/>
  <c r="H61" i="3"/>
  <c r="H28" i="1"/>
  <c r="K28" i="1" s="1"/>
  <c r="G29" i="9" s="1"/>
  <c r="H27" i="1"/>
  <c r="K27" i="1" s="1"/>
  <c r="G28" i="9" s="1"/>
  <c r="P28" i="9" s="1"/>
  <c r="H26" i="1"/>
  <c r="K26" i="1" s="1"/>
  <c r="G27" i="9" s="1"/>
  <c r="P27" i="9" s="1"/>
  <c r="H25" i="1"/>
  <c r="K25" i="1" s="1"/>
  <c r="G26" i="9" s="1"/>
  <c r="P26" i="9" s="1"/>
  <c r="N63" i="3"/>
  <c r="N62" i="3"/>
  <c r="N61" i="3"/>
  <c r="N60" i="3"/>
  <c r="N59" i="3"/>
  <c r="N56" i="3"/>
  <c r="N55" i="3"/>
  <c r="N54" i="3"/>
  <c r="N52" i="3"/>
  <c r="N49" i="3"/>
  <c r="N48" i="3"/>
  <c r="N47" i="3"/>
  <c r="N46" i="3"/>
  <c r="N45" i="3"/>
  <c r="N41" i="3"/>
  <c r="N40" i="3"/>
  <c r="N39" i="3"/>
  <c r="N38" i="3"/>
  <c r="N35" i="3"/>
  <c r="N34" i="3"/>
  <c r="N33" i="3"/>
  <c r="N32" i="3"/>
  <c r="N31" i="3"/>
  <c r="L61" i="3"/>
  <c r="L59" i="3"/>
  <c r="L52" i="3"/>
  <c r="L47" i="3"/>
  <c r="L46" i="3"/>
  <c r="L45" i="3"/>
  <c r="L41" i="3"/>
  <c r="L40" i="3"/>
  <c r="L39" i="3"/>
  <c r="L38" i="3"/>
  <c r="L35" i="3"/>
  <c r="L34" i="3"/>
  <c r="L33" i="3"/>
  <c r="L32" i="3"/>
  <c r="L68" i="3" s="1"/>
  <c r="L31" i="3"/>
  <c r="L67" i="3" s="1"/>
  <c r="N28" i="3"/>
  <c r="N27" i="3"/>
  <c r="N26" i="3"/>
  <c r="N25" i="3"/>
  <c r="N21" i="3"/>
  <c r="N20" i="3"/>
  <c r="N19" i="3"/>
  <c r="N18" i="3"/>
  <c r="H18" i="1"/>
  <c r="K18" i="1" s="1"/>
  <c r="G19" i="9" s="1"/>
  <c r="H59" i="3"/>
  <c r="H52" i="3"/>
  <c r="H47" i="3"/>
  <c r="H46" i="3"/>
  <c r="H45" i="3"/>
  <c r="H41" i="3"/>
  <c r="H39" i="3"/>
  <c r="H38" i="3"/>
  <c r="H35" i="3"/>
  <c r="H34" i="3"/>
  <c r="H33" i="3"/>
  <c r="H32" i="3"/>
  <c r="H31" i="3"/>
  <c r="N14" i="3"/>
  <c r="N13" i="3"/>
  <c r="N12" i="3"/>
  <c r="N11" i="3"/>
  <c r="N10" i="3"/>
  <c r="H14" i="3"/>
  <c r="H13" i="3"/>
  <c r="H12" i="3"/>
  <c r="H11" i="3"/>
  <c r="H10" i="3"/>
  <c r="N7" i="3"/>
  <c r="N6" i="3"/>
  <c r="N5" i="3"/>
  <c r="N4" i="3"/>
  <c r="P40" i="9" l="1"/>
  <c r="M83" i="9"/>
  <c r="P16" i="9"/>
  <c r="I87" i="9"/>
  <c r="P14" i="9"/>
  <c r="I85" i="9"/>
  <c r="P12" i="9"/>
  <c r="I83" i="9"/>
  <c r="P13" i="9"/>
  <c r="I84" i="9"/>
  <c r="P11" i="9"/>
  <c r="I82" i="9"/>
  <c r="P9" i="9"/>
  <c r="H87" i="9"/>
  <c r="P19" i="9"/>
  <c r="D72" i="1"/>
  <c r="E72" i="1" s="1"/>
  <c r="D73" i="9"/>
  <c r="T72" i="2"/>
  <c r="E73" i="9" s="1"/>
  <c r="Q73" i="9" s="1"/>
  <c r="V8" i="1"/>
  <c r="X8" i="1" s="1"/>
  <c r="D7" i="1"/>
  <c r="E7" i="1" s="1"/>
  <c r="D8" i="9"/>
  <c r="H86" i="9" s="1"/>
  <c r="D6" i="1"/>
  <c r="E6" i="1" s="1"/>
  <c r="D7" i="9"/>
  <c r="D5" i="1"/>
  <c r="E5" i="1" s="1"/>
  <c r="D6" i="9"/>
  <c r="D4" i="1"/>
  <c r="E4" i="1" s="1"/>
  <c r="D5" i="9"/>
  <c r="D3" i="1"/>
  <c r="E3" i="1" s="1"/>
  <c r="D4" i="9"/>
  <c r="O35" i="3"/>
  <c r="H69" i="3"/>
  <c r="P34" i="3"/>
  <c r="H70" i="3"/>
  <c r="H68" i="1"/>
  <c r="O24" i="3"/>
  <c r="H24" i="1"/>
  <c r="K24" i="1" s="1"/>
  <c r="G25" i="9" s="1"/>
  <c r="P25" i="9" s="1"/>
  <c r="H19" i="1"/>
  <c r="M69" i="3"/>
  <c r="M70" i="3"/>
  <c r="H20" i="1"/>
  <c r="H21" i="1"/>
  <c r="M68" i="3"/>
  <c r="H68" i="3"/>
  <c r="L60" i="3"/>
  <c r="H60" i="3"/>
  <c r="L62" i="3"/>
  <c r="H62" i="3"/>
  <c r="O56" i="3"/>
  <c r="O34" i="3"/>
  <c r="O59" i="3"/>
  <c r="P49" i="3"/>
  <c r="P45" i="3"/>
  <c r="P55" i="3"/>
  <c r="O52" i="3"/>
  <c r="O53" i="3"/>
  <c r="O46" i="3"/>
  <c r="O47" i="3"/>
  <c r="O40" i="3"/>
  <c r="P13" i="3"/>
  <c r="P40" i="3"/>
  <c r="P53" i="3"/>
  <c r="O31" i="3"/>
  <c r="O41" i="3"/>
  <c r="P12" i="3"/>
  <c r="P38" i="3"/>
  <c r="P10" i="3"/>
  <c r="P47" i="3"/>
  <c r="P59" i="3"/>
  <c r="P39" i="3"/>
  <c r="O39" i="3"/>
  <c r="O38" i="3"/>
  <c r="O54" i="3"/>
  <c r="O11" i="3"/>
  <c r="P11" i="3"/>
  <c r="O48" i="3"/>
  <c r="O55" i="3"/>
  <c r="O49" i="3"/>
  <c r="P33" i="3"/>
  <c r="O33" i="3"/>
  <c r="O45" i="3"/>
  <c r="T3" i="2"/>
  <c r="E4" i="9" s="1"/>
  <c r="S67" i="2"/>
  <c r="P46" i="3"/>
  <c r="P56" i="3"/>
  <c r="O12" i="3"/>
  <c r="P48" i="3"/>
  <c r="T7" i="2"/>
  <c r="E8" i="9" s="1"/>
  <c r="S71" i="2"/>
  <c r="O13" i="3"/>
  <c r="T6" i="2"/>
  <c r="E7" i="9" s="1"/>
  <c r="S70" i="2"/>
  <c r="P52" i="3"/>
  <c r="T4" i="2"/>
  <c r="E5" i="9" s="1"/>
  <c r="S68" i="2"/>
  <c r="P31" i="3"/>
  <c r="P41" i="3"/>
  <c r="P54" i="3"/>
  <c r="T5" i="2"/>
  <c r="E6" i="9" s="1"/>
  <c r="S69" i="2"/>
  <c r="O63" i="3"/>
  <c r="P61" i="3"/>
  <c r="P63" i="3"/>
  <c r="O61" i="3"/>
  <c r="O10" i="3"/>
  <c r="H3" i="3"/>
  <c r="N3" i="3"/>
  <c r="P6" i="9" l="1"/>
  <c r="H84" i="9"/>
  <c r="P7" i="9"/>
  <c r="H85" i="9"/>
  <c r="P73" i="9"/>
  <c r="K112" i="9"/>
  <c r="O112" i="9" s="1"/>
  <c r="P5" i="9"/>
  <c r="H83" i="9"/>
  <c r="P4" i="9"/>
  <c r="H82" i="9"/>
  <c r="V72" i="1"/>
  <c r="X72" i="1" s="1"/>
  <c r="D71" i="1"/>
  <c r="E71" i="1" s="1"/>
  <c r="D72" i="9"/>
  <c r="K111" i="9" s="1"/>
  <c r="O111" i="9" s="1"/>
  <c r="D70" i="1"/>
  <c r="E70" i="1" s="1"/>
  <c r="D71" i="9"/>
  <c r="K110" i="9" s="1"/>
  <c r="O110" i="9" s="1"/>
  <c r="D69" i="1"/>
  <c r="E69" i="1" s="1"/>
  <c r="D70" i="9"/>
  <c r="K109" i="9" s="1"/>
  <c r="O109" i="9" s="1"/>
  <c r="D68" i="1"/>
  <c r="E68" i="1" s="1"/>
  <c r="D69" i="9"/>
  <c r="K108" i="9" s="1"/>
  <c r="O108" i="9" s="1"/>
  <c r="D67" i="1"/>
  <c r="E67" i="1" s="1"/>
  <c r="D68" i="9"/>
  <c r="H70" i="1"/>
  <c r="K20" i="1"/>
  <c r="G21" i="9" s="1"/>
  <c r="P21" i="9" s="1"/>
  <c r="H71" i="1"/>
  <c r="K21" i="1"/>
  <c r="G22" i="9" s="1"/>
  <c r="H69" i="1"/>
  <c r="K19" i="1"/>
  <c r="G20" i="9" s="1"/>
  <c r="P20" i="9" s="1"/>
  <c r="O32" i="3"/>
  <c r="P35" i="3"/>
  <c r="P32" i="3"/>
  <c r="O60" i="3"/>
  <c r="P62" i="3"/>
  <c r="O62" i="3"/>
  <c r="P60" i="3"/>
  <c r="H7" i="3"/>
  <c r="H6" i="3"/>
  <c r="H5" i="3"/>
  <c r="H4" i="3"/>
  <c r="D75" i="9" l="1"/>
  <c r="K107" i="9"/>
  <c r="O107" i="9" s="1"/>
  <c r="P4" i="3"/>
  <c r="O4" i="3"/>
  <c r="O3" i="3"/>
  <c r="P3" i="3"/>
  <c r="P5" i="3"/>
  <c r="O5" i="3"/>
  <c r="P6" i="3"/>
  <c r="O6" i="3"/>
  <c r="K71" i="1"/>
  <c r="G72" i="9" s="1"/>
  <c r="K70" i="1"/>
  <c r="G71" i="9" s="1"/>
  <c r="K69" i="1"/>
  <c r="G70" i="9" s="1"/>
  <c r="K68" i="1"/>
  <c r="G69" i="9" s="1"/>
  <c r="L28" i="1"/>
  <c r="H29" i="9" s="1"/>
  <c r="L27" i="1"/>
  <c r="H28" i="9" s="1"/>
  <c r="Q28" i="9" s="1"/>
  <c r="L26" i="1"/>
  <c r="H27" i="9" s="1"/>
  <c r="Q27" i="9" s="1"/>
  <c r="L25" i="1"/>
  <c r="H26" i="9" s="1"/>
  <c r="Q26" i="9" s="1"/>
  <c r="L24" i="1"/>
  <c r="H25" i="9" s="1"/>
  <c r="Q25" i="9" s="1"/>
  <c r="L21" i="1"/>
  <c r="H22" i="9" s="1"/>
  <c r="L20" i="1"/>
  <c r="H21" i="9" s="1"/>
  <c r="Q21" i="9" s="1"/>
  <c r="L19" i="1"/>
  <c r="H20" i="9" s="1"/>
  <c r="Q20" i="9" s="1"/>
  <c r="L18" i="1"/>
  <c r="H19" i="9" s="1"/>
  <c r="Q19" i="9" s="1"/>
  <c r="L18" i="3" l="1"/>
  <c r="L14" i="3"/>
  <c r="P24" i="3" l="1"/>
  <c r="R24" i="3" s="1"/>
  <c r="O14" i="3"/>
  <c r="P14" i="3"/>
  <c r="O28" i="3"/>
  <c r="P28" i="3"/>
  <c r="R28" i="3" s="1"/>
  <c r="O27" i="3"/>
  <c r="P27" i="3"/>
  <c r="R27" i="3" s="1"/>
  <c r="P26" i="3"/>
  <c r="R26" i="3" s="1"/>
  <c r="O26" i="3"/>
  <c r="P25" i="3"/>
  <c r="R25" i="3" s="1"/>
  <c r="O25" i="3"/>
  <c r="O21" i="3"/>
  <c r="P21" i="3"/>
  <c r="R21" i="3" s="1"/>
  <c r="P20" i="3"/>
  <c r="O20" i="3"/>
  <c r="O70" i="3" s="1"/>
  <c r="P19" i="3"/>
  <c r="O19" i="3"/>
  <c r="O18" i="3"/>
  <c r="P18" i="3"/>
  <c r="V81" i="4"/>
  <c r="T81" i="4"/>
  <c r="V80" i="4"/>
  <c r="T80" i="4"/>
  <c r="V79" i="4"/>
  <c r="T79" i="4"/>
  <c r="V78" i="4"/>
  <c r="T78" i="4"/>
  <c r="V77" i="4"/>
  <c r="T77" i="4"/>
  <c r="O68" i="3" l="1"/>
  <c r="O69" i="3"/>
  <c r="P70" i="3"/>
  <c r="R70" i="3" s="1"/>
  <c r="P69" i="3"/>
  <c r="R69" i="3" s="1"/>
  <c r="R19" i="3"/>
  <c r="R18" i="3"/>
  <c r="P68" i="3"/>
  <c r="R68" i="3" s="1"/>
  <c r="R20" i="3"/>
  <c r="L63" i="1"/>
  <c r="H64" i="9" s="1"/>
  <c r="L62" i="1"/>
  <c r="H63" i="9" s="1"/>
  <c r="Q63" i="9" s="1"/>
  <c r="L61" i="1"/>
  <c r="H62" i="9" s="1"/>
  <c r="Q62" i="9" s="1"/>
  <c r="L60" i="1"/>
  <c r="H61" i="9" s="1"/>
  <c r="Q61" i="9" s="1"/>
  <c r="L59" i="1"/>
  <c r="H60" i="9" s="1"/>
  <c r="Q60" i="9" s="1"/>
  <c r="L56" i="1"/>
  <c r="H57" i="9" s="1"/>
  <c r="L55" i="1"/>
  <c r="H56" i="9" s="1"/>
  <c r="Q56" i="9" s="1"/>
  <c r="L54" i="1"/>
  <c r="H55" i="9" s="1"/>
  <c r="Q55" i="9" s="1"/>
  <c r="L53" i="1"/>
  <c r="H54" i="9" s="1"/>
  <c r="Q54" i="9" s="1"/>
  <c r="L52" i="1"/>
  <c r="H53" i="9" s="1"/>
  <c r="Q53" i="9" s="1"/>
  <c r="L49" i="1"/>
  <c r="H50" i="9" s="1"/>
  <c r="L48" i="1"/>
  <c r="H49" i="9" s="1"/>
  <c r="Q49" i="9" s="1"/>
  <c r="L47" i="1"/>
  <c r="H48" i="9" s="1"/>
  <c r="Q48" i="9" s="1"/>
  <c r="L46" i="1"/>
  <c r="H47" i="9" s="1"/>
  <c r="Q47" i="9" s="1"/>
  <c r="L45" i="1"/>
  <c r="H46" i="9" s="1"/>
  <c r="Q46" i="9" s="1"/>
  <c r="L42" i="1"/>
  <c r="H43" i="9" s="1"/>
  <c r="L41" i="1"/>
  <c r="H42" i="9" s="1"/>
  <c r="Q42" i="9" s="1"/>
  <c r="L40" i="1"/>
  <c r="H41" i="9" s="1"/>
  <c r="Q41" i="9" s="1"/>
  <c r="L39" i="1"/>
  <c r="H40" i="9" s="1"/>
  <c r="Q40" i="9" s="1"/>
  <c r="L38" i="1"/>
  <c r="H39" i="9" s="1"/>
  <c r="Q39" i="9" s="1"/>
  <c r="L35" i="1"/>
  <c r="H36" i="9" s="1"/>
  <c r="L34" i="1"/>
  <c r="H35" i="9" s="1"/>
  <c r="Q35" i="9" s="1"/>
  <c r="L33" i="1"/>
  <c r="H34" i="9" s="1"/>
  <c r="Q34" i="9" s="1"/>
  <c r="L32" i="1"/>
  <c r="H33" i="9" s="1"/>
  <c r="Q33" i="9" s="1"/>
  <c r="L31" i="1"/>
  <c r="H32" i="9" s="1"/>
  <c r="Q32" i="9" s="1"/>
  <c r="L14" i="1"/>
  <c r="H15" i="9" s="1"/>
  <c r="L13" i="1"/>
  <c r="H14" i="9" s="1"/>
  <c r="Q14" i="9" s="1"/>
  <c r="L12" i="1"/>
  <c r="H13" i="9" s="1"/>
  <c r="Q13" i="9" s="1"/>
  <c r="L11" i="1"/>
  <c r="H12" i="9" s="1"/>
  <c r="Q12" i="9" s="1"/>
  <c r="L10" i="1"/>
  <c r="H11" i="9" s="1"/>
  <c r="Q11" i="9" s="1"/>
  <c r="L7" i="1"/>
  <c r="H8" i="9" s="1"/>
  <c r="L6" i="1"/>
  <c r="H7" i="9" s="1"/>
  <c r="Q7" i="9" s="1"/>
  <c r="L5" i="1"/>
  <c r="H6" i="9" s="1"/>
  <c r="Q6" i="9" s="1"/>
  <c r="L4" i="1"/>
  <c r="H5" i="9" s="1"/>
  <c r="Q5" i="9" s="1"/>
  <c r="L3" i="1"/>
  <c r="H4" i="9" s="1"/>
  <c r="Q4" i="9" s="1"/>
  <c r="V53" i="4" l="1"/>
  <c r="T53" i="4"/>
  <c r="V46" i="4"/>
  <c r="V48" i="4" s="1"/>
  <c r="T46" i="4"/>
  <c r="V41" i="4"/>
  <c r="V40" i="4"/>
  <c r="T41" i="4"/>
  <c r="T40" i="4"/>
  <c r="V35" i="4"/>
  <c r="V34" i="4"/>
  <c r="T35" i="4"/>
  <c r="T34" i="4"/>
  <c r="V33" i="4"/>
  <c r="T33" i="4"/>
  <c r="V28" i="4"/>
  <c r="T28" i="4"/>
  <c r="V27" i="4"/>
  <c r="T27" i="4"/>
  <c r="V26" i="4"/>
  <c r="T26" i="4"/>
  <c r="T23" i="4"/>
  <c r="T22" i="4"/>
  <c r="T21" i="4"/>
  <c r="T20" i="4"/>
  <c r="T15" i="4"/>
  <c r="T14" i="4"/>
  <c r="T13" i="4"/>
  <c r="T12" i="4"/>
  <c r="T11" i="4"/>
  <c r="T8" i="4"/>
  <c r="T7" i="4"/>
  <c r="T6" i="4"/>
  <c r="T5" i="4"/>
  <c r="T4" i="4"/>
  <c r="V23" i="4"/>
  <c r="V22" i="4"/>
  <c r="V21" i="4"/>
  <c r="V20" i="4"/>
  <c r="V15" i="4"/>
  <c r="V14" i="4"/>
  <c r="V13" i="4"/>
  <c r="V12" i="4"/>
  <c r="V11" i="4"/>
  <c r="V8" i="4"/>
  <c r="V7" i="4"/>
  <c r="V6" i="4"/>
  <c r="V5" i="4"/>
  <c r="V4" i="4"/>
  <c r="R35" i="3" l="1"/>
  <c r="L7" i="3"/>
  <c r="P7" i="3" l="1"/>
  <c r="O7" i="3"/>
  <c r="R53" i="3"/>
  <c r="R54" i="3"/>
  <c r="R55" i="3"/>
  <c r="R52" i="3"/>
  <c r="R47" i="3"/>
  <c r="R45" i="3"/>
  <c r="R46" i="3"/>
  <c r="R39" i="3"/>
  <c r="R38" i="3"/>
  <c r="R31" i="3"/>
  <c r="R32" i="3"/>
  <c r="R13" i="3"/>
  <c r="R12" i="3"/>
  <c r="R11" i="3"/>
  <c r="R10" i="3"/>
  <c r="R59" i="3"/>
  <c r="R6" i="3"/>
  <c r="R5" i="3"/>
  <c r="R4" i="3"/>
  <c r="R3" i="3"/>
  <c r="R56" i="3"/>
  <c r="R48" i="3"/>
  <c r="R49" i="3"/>
  <c r="R14" i="3"/>
  <c r="R62" i="3"/>
  <c r="R41" i="3"/>
  <c r="R40" i="3"/>
  <c r="R34" i="3"/>
  <c r="R33" i="3"/>
  <c r="R63" i="3"/>
  <c r="R61" i="3"/>
  <c r="R60" i="3"/>
  <c r="R7" i="3" l="1"/>
  <c r="D71" i="3"/>
  <c r="G71" i="1" s="1"/>
  <c r="A71" i="3"/>
  <c r="D70" i="3"/>
  <c r="G70" i="1" s="1"/>
  <c r="A70" i="3"/>
  <c r="D69" i="3"/>
  <c r="G69" i="1" s="1"/>
  <c r="D68" i="3"/>
  <c r="G68" i="1" s="1"/>
  <c r="A68" i="3"/>
  <c r="D67" i="3"/>
  <c r="G67" i="1" s="1"/>
  <c r="A67" i="3"/>
  <c r="S63" i="1" l="1"/>
  <c r="T63" i="1" s="1"/>
  <c r="S62" i="1"/>
  <c r="T62" i="1" s="1"/>
  <c r="S61" i="1"/>
  <c r="T61" i="1" s="1"/>
  <c r="S60" i="1"/>
  <c r="T60" i="1" s="1"/>
  <c r="S59" i="1"/>
  <c r="T59" i="1" s="1"/>
  <c r="S56" i="1"/>
  <c r="T56" i="1" s="1"/>
  <c r="S55" i="1"/>
  <c r="T55" i="1" s="1"/>
  <c r="S54" i="1"/>
  <c r="T54" i="1" s="1"/>
  <c r="S53" i="1"/>
  <c r="T53" i="1" s="1"/>
  <c r="S52" i="1"/>
  <c r="T52" i="1" s="1"/>
  <c r="S49" i="1"/>
  <c r="T49" i="1" s="1"/>
  <c r="S48" i="1"/>
  <c r="T48" i="1" s="1"/>
  <c r="S47" i="1"/>
  <c r="T47" i="1" s="1"/>
  <c r="S46" i="1"/>
  <c r="T46" i="1" s="1"/>
  <c r="S45" i="1"/>
  <c r="T45" i="1" s="1"/>
  <c r="S42" i="1"/>
  <c r="T42" i="1" s="1"/>
  <c r="S41" i="1"/>
  <c r="T41" i="1" s="1"/>
  <c r="S40" i="1"/>
  <c r="T40" i="1" s="1"/>
  <c r="S39" i="1"/>
  <c r="T39" i="1" s="1"/>
  <c r="S38" i="1"/>
  <c r="T38" i="1" s="1"/>
  <c r="S35" i="1"/>
  <c r="T35" i="1" s="1"/>
  <c r="S34" i="1"/>
  <c r="T34" i="1" s="1"/>
  <c r="S33" i="1"/>
  <c r="T33" i="1" s="1"/>
  <c r="S32" i="1"/>
  <c r="T32" i="1" s="1"/>
  <c r="S31" i="1"/>
  <c r="T31" i="1" s="1"/>
  <c r="S28" i="1"/>
  <c r="T28" i="1" s="1"/>
  <c r="S27" i="1"/>
  <c r="T27" i="1" s="1"/>
  <c r="S26" i="1"/>
  <c r="T26" i="1" s="1"/>
  <c r="S25" i="1"/>
  <c r="T25" i="1" s="1"/>
  <c r="S24" i="1"/>
  <c r="T24" i="1" s="1"/>
  <c r="S21" i="1"/>
  <c r="T21" i="1" s="1"/>
  <c r="S20" i="1"/>
  <c r="T20" i="1" s="1"/>
  <c r="S19" i="1"/>
  <c r="T19" i="1" s="1"/>
  <c r="S18" i="1"/>
  <c r="T18" i="1" s="1"/>
  <c r="S17" i="1"/>
  <c r="T17" i="1" s="1"/>
  <c r="S14" i="1"/>
  <c r="T14" i="1" s="1"/>
  <c r="S13" i="1"/>
  <c r="T13" i="1" s="1"/>
  <c r="S12" i="1"/>
  <c r="T12" i="1" s="1"/>
  <c r="S11" i="1"/>
  <c r="T11" i="1" s="1"/>
  <c r="S10" i="1"/>
  <c r="T10" i="1" s="1"/>
  <c r="S3" i="1"/>
  <c r="T3" i="1" s="1"/>
  <c r="S4" i="1"/>
  <c r="T4" i="1" s="1"/>
  <c r="S5" i="1"/>
  <c r="T5" i="1" s="1"/>
  <c r="S6" i="1"/>
  <c r="T6" i="1" s="1"/>
  <c r="S7" i="1"/>
  <c r="T7" i="1" s="1"/>
  <c r="O63" i="1"/>
  <c r="O62" i="1"/>
  <c r="O61" i="1"/>
  <c r="O60" i="1"/>
  <c r="O59" i="1"/>
  <c r="O56" i="1"/>
  <c r="O55" i="1"/>
  <c r="O54" i="1"/>
  <c r="O53" i="1"/>
  <c r="O52" i="1"/>
  <c r="O49" i="1"/>
  <c r="O48" i="1"/>
  <c r="O47" i="1"/>
  <c r="O46" i="1"/>
  <c r="O45" i="1"/>
  <c r="O42" i="1"/>
  <c r="O41" i="1"/>
  <c r="O40" i="1"/>
  <c r="O39" i="1"/>
  <c r="O38" i="1"/>
  <c r="O35" i="1"/>
  <c r="O34" i="1"/>
  <c r="O33" i="1"/>
  <c r="O32" i="1"/>
  <c r="O31" i="1"/>
  <c r="O28" i="1"/>
  <c r="O27" i="1"/>
  <c r="O26" i="1"/>
  <c r="O25" i="1"/>
  <c r="O24" i="1"/>
  <c r="O21" i="1"/>
  <c r="O20" i="1"/>
  <c r="O19" i="1"/>
  <c r="O18" i="1"/>
  <c r="O17" i="1"/>
  <c r="O14" i="1"/>
  <c r="O13" i="1"/>
  <c r="O12" i="1"/>
  <c r="O11" i="1"/>
  <c r="O10" i="1"/>
  <c r="O7" i="1"/>
  <c r="O6" i="1"/>
  <c r="O5" i="1"/>
  <c r="O4" i="1"/>
  <c r="O3" i="1"/>
  <c r="R71" i="1"/>
  <c r="S71" i="1" s="1"/>
  <c r="R70" i="1"/>
  <c r="S70" i="1" s="1"/>
  <c r="R69" i="1"/>
  <c r="S69" i="1" s="1"/>
  <c r="R68" i="1"/>
  <c r="S68" i="1" s="1"/>
  <c r="R67" i="1"/>
  <c r="S67" i="1" s="1"/>
  <c r="N71" i="1"/>
  <c r="O71" i="1" s="1"/>
  <c r="N70" i="1"/>
  <c r="O70" i="1" s="1"/>
  <c r="N69" i="1"/>
  <c r="O69" i="1" s="1"/>
  <c r="N68" i="1"/>
  <c r="O68" i="1" s="1"/>
  <c r="N67" i="1"/>
  <c r="O67" i="1" s="1"/>
  <c r="C70" i="1"/>
  <c r="C69" i="1"/>
  <c r="C68" i="1"/>
  <c r="C67" i="1"/>
  <c r="A71" i="1"/>
  <c r="L71" i="1" s="1"/>
  <c r="H72" i="9" s="1"/>
  <c r="A70" i="1"/>
  <c r="L70" i="1" s="1"/>
  <c r="H71" i="9" s="1"/>
  <c r="A69" i="1"/>
  <c r="L69" i="1" s="1"/>
  <c r="H70" i="9" s="1"/>
  <c r="A68" i="1"/>
  <c r="L68" i="1" s="1"/>
  <c r="H69" i="9" s="1"/>
  <c r="A67" i="1"/>
  <c r="F71" i="2"/>
  <c r="F70" i="2"/>
  <c r="F69" i="2"/>
  <c r="F68" i="2"/>
  <c r="F67" i="2"/>
  <c r="C71" i="2"/>
  <c r="C70" i="2"/>
  <c r="C69" i="2"/>
  <c r="C68" i="2"/>
  <c r="C67" i="2"/>
  <c r="A71" i="2"/>
  <c r="T71" i="2" s="1"/>
  <c r="E72" i="9" s="1"/>
  <c r="A70" i="2"/>
  <c r="T70" i="2" s="1"/>
  <c r="E71" i="9" s="1"/>
  <c r="A69" i="2"/>
  <c r="T69" i="2" s="1"/>
  <c r="E70" i="9" s="1"/>
  <c r="A68" i="2"/>
  <c r="T68" i="2" s="1"/>
  <c r="E69" i="9" s="1"/>
  <c r="A67" i="2"/>
  <c r="T67" i="2" s="1"/>
  <c r="E68" i="9" s="1"/>
  <c r="Q71" i="9" l="1"/>
  <c r="Q70" i="9"/>
  <c r="Q69" i="9"/>
  <c r="V4" i="1"/>
  <c r="V19" i="1"/>
  <c r="V41" i="1"/>
  <c r="V53" i="1"/>
  <c r="V31" i="1"/>
  <c r="V3" i="1"/>
  <c r="V5" i="1"/>
  <c r="V25" i="1"/>
  <c r="V47" i="1"/>
  <c r="V59" i="1"/>
  <c r="V13" i="1"/>
  <c r="V26" i="1"/>
  <c r="V60" i="1"/>
  <c r="V38" i="1"/>
  <c r="V48" i="1"/>
  <c r="V32" i="1"/>
  <c r="P11" i="1"/>
  <c r="V11" i="1"/>
  <c r="P21" i="1"/>
  <c r="P33" i="1"/>
  <c r="V33" i="1"/>
  <c r="P45" i="1"/>
  <c r="V45" i="1"/>
  <c r="P55" i="1"/>
  <c r="V55" i="1"/>
  <c r="V10" i="1"/>
  <c r="T71" i="1"/>
  <c r="P12" i="1"/>
  <c r="V12" i="1"/>
  <c r="P24" i="1"/>
  <c r="V24" i="1"/>
  <c r="P34" i="1"/>
  <c r="V34" i="1"/>
  <c r="P46" i="1"/>
  <c r="V46" i="1"/>
  <c r="P56" i="1"/>
  <c r="V20" i="1"/>
  <c r="V54" i="1"/>
  <c r="P17" i="1"/>
  <c r="P27" i="1"/>
  <c r="V27" i="1"/>
  <c r="P39" i="1"/>
  <c r="V39" i="1"/>
  <c r="P49" i="1"/>
  <c r="P61" i="1"/>
  <c r="V61" i="1"/>
  <c r="T67" i="1"/>
  <c r="P6" i="1"/>
  <c r="V6" i="1"/>
  <c r="P18" i="1"/>
  <c r="V18" i="1"/>
  <c r="P28" i="1"/>
  <c r="P40" i="1"/>
  <c r="V40" i="1"/>
  <c r="P52" i="1"/>
  <c r="V52" i="1"/>
  <c r="P62" i="1"/>
  <c r="V62" i="1"/>
  <c r="T69" i="1"/>
  <c r="T70" i="1"/>
  <c r="T68" i="1"/>
  <c r="P68" i="1"/>
  <c r="P70" i="1"/>
  <c r="P69" i="1"/>
  <c r="P5" i="1"/>
  <c r="P3" i="1"/>
  <c r="P7" i="1"/>
  <c r="P13" i="1"/>
  <c r="P19" i="1"/>
  <c r="P25" i="1"/>
  <c r="P31" i="1"/>
  <c r="P35" i="1"/>
  <c r="P41" i="1"/>
  <c r="P47" i="1"/>
  <c r="P53" i="1"/>
  <c r="P59" i="1"/>
  <c r="P63" i="1"/>
  <c r="P4" i="1"/>
  <c r="P10" i="1"/>
  <c r="P14" i="1"/>
  <c r="P20" i="1"/>
  <c r="P26" i="1"/>
  <c r="P32" i="1"/>
  <c r="P38" i="1"/>
  <c r="P42" i="1"/>
  <c r="P48" i="1"/>
  <c r="P54" i="1"/>
  <c r="P60" i="1"/>
  <c r="P67" i="1"/>
  <c r="P71" i="1"/>
  <c r="F63" i="2"/>
  <c r="E63" i="2" s="1"/>
  <c r="F62" i="2"/>
  <c r="E62" i="2" s="1"/>
  <c r="G62" i="2" s="1"/>
  <c r="F61" i="2"/>
  <c r="E61" i="2" s="1"/>
  <c r="G61" i="2" s="1"/>
  <c r="F60" i="2"/>
  <c r="E60" i="2" s="1"/>
  <c r="G60" i="2" s="1"/>
  <c r="F59" i="2"/>
  <c r="E59" i="2" s="1"/>
  <c r="G59" i="2" s="1"/>
  <c r="F56" i="2"/>
  <c r="E56" i="2" s="1"/>
  <c r="F55" i="2"/>
  <c r="E55" i="2" s="1"/>
  <c r="G55" i="2" s="1"/>
  <c r="F54" i="2"/>
  <c r="E54" i="2" s="1"/>
  <c r="G54" i="2" s="1"/>
  <c r="F53" i="2"/>
  <c r="E53" i="2" s="1"/>
  <c r="G53" i="2" s="1"/>
  <c r="F52" i="2"/>
  <c r="E52" i="2" s="1"/>
  <c r="G52" i="2" s="1"/>
  <c r="F49" i="2"/>
  <c r="E49" i="2" s="1"/>
  <c r="F48" i="2"/>
  <c r="E48" i="2" s="1"/>
  <c r="G48" i="2" s="1"/>
  <c r="F47" i="2"/>
  <c r="E47" i="2" s="1"/>
  <c r="G47" i="2" s="1"/>
  <c r="F46" i="2"/>
  <c r="E46" i="2" s="1"/>
  <c r="G46" i="2" s="1"/>
  <c r="F45" i="2"/>
  <c r="E45" i="2" s="1"/>
  <c r="G45" i="2" s="1"/>
  <c r="F42" i="2"/>
  <c r="E42" i="2" s="1"/>
  <c r="F41" i="2"/>
  <c r="E41" i="2" s="1"/>
  <c r="G41" i="2" s="1"/>
  <c r="F40" i="2"/>
  <c r="E40" i="2" s="1"/>
  <c r="G40" i="2" s="1"/>
  <c r="F39" i="2"/>
  <c r="E39" i="2" s="1"/>
  <c r="G39" i="2" s="1"/>
  <c r="F38" i="2"/>
  <c r="E38" i="2" s="1"/>
  <c r="G38" i="2" s="1"/>
  <c r="F35" i="2"/>
  <c r="E35" i="2" s="1"/>
  <c r="F34" i="2"/>
  <c r="E34" i="2" s="1"/>
  <c r="G34" i="2" s="1"/>
  <c r="F33" i="2"/>
  <c r="E33" i="2" s="1"/>
  <c r="G33" i="2" s="1"/>
  <c r="F32" i="2"/>
  <c r="E32" i="2" s="1"/>
  <c r="G32" i="2" s="1"/>
  <c r="F31" i="2"/>
  <c r="E31" i="2" s="1"/>
  <c r="G31" i="2" s="1"/>
  <c r="F28" i="2"/>
  <c r="E28" i="2" s="1"/>
  <c r="F27" i="2"/>
  <c r="E27" i="2" s="1"/>
  <c r="G27" i="2" s="1"/>
  <c r="F26" i="2"/>
  <c r="E26" i="2" s="1"/>
  <c r="G26" i="2" s="1"/>
  <c r="F25" i="2"/>
  <c r="E25" i="2" s="1"/>
  <c r="G25" i="2" s="1"/>
  <c r="F24" i="2"/>
  <c r="E24" i="2" s="1"/>
  <c r="G24" i="2" s="1"/>
  <c r="F21" i="2"/>
  <c r="E21" i="2" s="1"/>
  <c r="F20" i="2"/>
  <c r="E20" i="2" s="1"/>
  <c r="G20" i="2" s="1"/>
  <c r="F19" i="2"/>
  <c r="E19" i="2" s="1"/>
  <c r="G19" i="2" s="1"/>
  <c r="F18" i="2"/>
  <c r="E18" i="2" s="1"/>
  <c r="G18" i="2" s="1"/>
  <c r="F17" i="2"/>
  <c r="E17" i="2" s="1"/>
  <c r="G17" i="2" s="1"/>
  <c r="F14" i="2"/>
  <c r="E14" i="2" s="1"/>
  <c r="F13" i="2"/>
  <c r="E13" i="2" s="1"/>
  <c r="G13" i="2" s="1"/>
  <c r="F12" i="2"/>
  <c r="E12" i="2" s="1"/>
  <c r="G12" i="2" s="1"/>
  <c r="F11" i="2"/>
  <c r="E11" i="2" s="1"/>
  <c r="G11" i="2" s="1"/>
  <c r="F10" i="2"/>
  <c r="E10" i="2" s="1"/>
  <c r="G10" i="2" s="1"/>
  <c r="F7" i="2"/>
  <c r="E7" i="2" s="1"/>
  <c r="P8" i="9" s="1"/>
  <c r="F6" i="2"/>
  <c r="E6" i="2" s="1"/>
  <c r="F5" i="2"/>
  <c r="E5" i="2" s="1"/>
  <c r="F4" i="2"/>
  <c r="E4" i="2" s="1"/>
  <c r="F3" i="2"/>
  <c r="E3" i="2" s="1"/>
  <c r="G63" i="2" l="1"/>
  <c r="G56" i="2"/>
  <c r="G49" i="2"/>
  <c r="G42" i="2"/>
  <c r="G35" i="2"/>
  <c r="G28" i="2"/>
  <c r="G21" i="2"/>
  <c r="G14" i="2"/>
  <c r="Q15" i="9" s="1"/>
  <c r="V7" i="1"/>
  <c r="X59" i="1"/>
  <c r="AB64" i="1"/>
  <c r="X52" i="1"/>
  <c r="AB57" i="1"/>
  <c r="X31" i="1"/>
  <c r="AB36" i="1"/>
  <c r="X24" i="1"/>
  <c r="AB29" i="1"/>
  <c r="X10" i="1"/>
  <c r="AB15" i="1"/>
  <c r="X3" i="1"/>
  <c r="AB8" i="1"/>
  <c r="X48" i="1"/>
  <c r="Z48" i="1"/>
  <c r="X46" i="1"/>
  <c r="Z46" i="1"/>
  <c r="X45" i="1"/>
  <c r="AB50" i="1"/>
  <c r="X47" i="1"/>
  <c r="Z47" i="1"/>
  <c r="X40" i="1"/>
  <c r="Z40" i="1"/>
  <c r="X41" i="1"/>
  <c r="Z41" i="1"/>
  <c r="X38" i="1"/>
  <c r="AB43" i="1"/>
  <c r="X39" i="1"/>
  <c r="Z39" i="1"/>
  <c r="X32" i="1"/>
  <c r="Z32" i="1"/>
  <c r="X34" i="1"/>
  <c r="Z34" i="1"/>
  <c r="X33" i="1"/>
  <c r="Z33" i="1"/>
  <c r="X19" i="1"/>
  <c r="Z19" i="1"/>
  <c r="X18" i="1"/>
  <c r="X20" i="1"/>
  <c r="Z20" i="1"/>
  <c r="X4" i="1"/>
  <c r="Z4" i="1"/>
  <c r="X5" i="1"/>
  <c r="Z5" i="1"/>
  <c r="X6" i="1"/>
  <c r="Z6" i="1"/>
  <c r="X62" i="1"/>
  <c r="Z62" i="1"/>
  <c r="X61" i="1"/>
  <c r="Z61" i="1"/>
  <c r="X60" i="1"/>
  <c r="Z60" i="1"/>
  <c r="X54" i="1"/>
  <c r="Z54" i="1"/>
  <c r="X55" i="1"/>
  <c r="Z55" i="1"/>
  <c r="X53" i="1"/>
  <c r="Z53" i="1"/>
  <c r="X26" i="1"/>
  <c r="Z26" i="1"/>
  <c r="X27" i="1"/>
  <c r="Z27" i="1"/>
  <c r="X25" i="1"/>
  <c r="Z25" i="1"/>
  <c r="X13" i="1"/>
  <c r="Z13" i="1"/>
  <c r="X12" i="1"/>
  <c r="Z12" i="1"/>
  <c r="X11" i="1"/>
  <c r="Z11" i="1"/>
  <c r="E68" i="2"/>
  <c r="G4" i="2"/>
  <c r="E69" i="2"/>
  <c r="G5" i="2"/>
  <c r="E70" i="2"/>
  <c r="G6" i="2"/>
  <c r="G3" i="2"/>
  <c r="E67" i="2"/>
  <c r="E71" i="2"/>
  <c r="G7" i="2"/>
  <c r="Q8" i="9" s="1"/>
  <c r="C71" i="1"/>
  <c r="P64" i="9" l="1"/>
  <c r="Q64" i="9"/>
  <c r="V63" i="1"/>
  <c r="P57" i="9"/>
  <c r="Q57" i="9"/>
  <c r="V56" i="1"/>
  <c r="P50" i="9"/>
  <c r="Q50" i="9"/>
  <c r="V49" i="1"/>
  <c r="P43" i="9"/>
  <c r="Q43" i="9"/>
  <c r="V42" i="1"/>
  <c r="P36" i="9"/>
  <c r="Q36" i="9"/>
  <c r="V35" i="1"/>
  <c r="Q29" i="9"/>
  <c r="P29" i="9"/>
  <c r="V28" i="1"/>
  <c r="P22" i="9"/>
  <c r="Q22" i="9"/>
  <c r="V21" i="1"/>
  <c r="G69" i="2"/>
  <c r="G67" i="2"/>
  <c r="G68" i="2"/>
  <c r="G70" i="2"/>
  <c r="P15" i="9"/>
  <c r="V14" i="1"/>
  <c r="G71" i="2"/>
  <c r="Q72" i="9" s="1"/>
  <c r="X7" i="1"/>
  <c r="Z8" i="1"/>
  <c r="Z7" i="1"/>
  <c r="L17" i="3"/>
  <c r="N17" i="3"/>
  <c r="F67" i="3"/>
  <c r="H17" i="3"/>
  <c r="Z64" i="1" l="1"/>
  <c r="X63" i="1"/>
  <c r="Z63" i="1"/>
  <c r="X56" i="1"/>
  <c r="Z56" i="1"/>
  <c r="Z57" i="1"/>
  <c r="X49" i="1"/>
  <c r="Z49" i="1"/>
  <c r="Z50" i="1"/>
  <c r="X42" i="1"/>
  <c r="Z42" i="1"/>
  <c r="Z43" i="1"/>
  <c r="X35" i="1"/>
  <c r="Z36" i="1"/>
  <c r="Z35" i="1"/>
  <c r="Z28" i="1"/>
  <c r="Z29" i="1"/>
  <c r="X28" i="1"/>
  <c r="X21" i="1"/>
  <c r="Z21" i="1"/>
  <c r="Z22" i="1"/>
  <c r="Z15" i="1"/>
  <c r="X14" i="1"/>
  <c r="Z14" i="1"/>
  <c r="P71" i="9"/>
  <c r="V70" i="1"/>
  <c r="P70" i="9"/>
  <c r="V69" i="1"/>
  <c r="P69" i="9"/>
  <c r="V68" i="1"/>
  <c r="X68" i="1" s="1"/>
  <c r="P72" i="9"/>
  <c r="V71" i="1"/>
  <c r="H67" i="3"/>
  <c r="L42" i="3"/>
  <c r="F42" i="3"/>
  <c r="F71" i="3" s="1"/>
  <c r="Z70" i="1" l="1"/>
  <c r="X70" i="1"/>
  <c r="Z69" i="1"/>
  <c r="X69" i="1"/>
  <c r="X71" i="1"/>
  <c r="Z71" i="1"/>
  <c r="Z72" i="1"/>
  <c r="H17" i="1"/>
  <c r="M67" i="3"/>
  <c r="O17" i="3"/>
  <c r="O67" i="3" s="1"/>
  <c r="P17" i="3"/>
  <c r="R17" i="3" s="1"/>
  <c r="N42" i="3"/>
  <c r="H42" i="3"/>
  <c r="H67" i="1" l="1"/>
  <c r="K17" i="1"/>
  <c r="M71" i="3"/>
  <c r="H71" i="3"/>
  <c r="P67" i="3"/>
  <c r="R67" i="3" s="1"/>
  <c r="G18" i="9" l="1"/>
  <c r="P18" i="9" s="1"/>
  <c r="K67" i="1"/>
  <c r="L17" i="1"/>
  <c r="H18" i="9" s="1"/>
  <c r="Q18" i="9" s="1"/>
  <c r="V17" i="1"/>
  <c r="P42" i="3"/>
  <c r="O42" i="3"/>
  <c r="O71" i="3" s="1"/>
  <c r="G68" i="9" l="1"/>
  <c r="P68" i="9" s="1"/>
  <c r="L67" i="1"/>
  <c r="H68" i="9" s="1"/>
  <c r="Q68" i="9" s="1"/>
  <c r="V67" i="1"/>
  <c r="X17" i="1"/>
  <c r="AB22" i="1"/>
  <c r="Z18" i="1"/>
  <c r="P71" i="3"/>
  <c r="R71" i="3" s="1"/>
  <c r="R42" i="3"/>
  <c r="Z68" i="1" l="1"/>
  <c r="X67" i="1"/>
  <c r="AB72" i="1"/>
</calcChain>
</file>

<file path=xl/sharedStrings.xml><?xml version="1.0" encoding="utf-8"?>
<sst xmlns="http://schemas.openxmlformats.org/spreadsheetml/2006/main" count="335" uniqueCount="202">
  <si>
    <t>Alameda</t>
  </si>
  <si>
    <t>Year</t>
  </si>
  <si>
    <t>Electricity</t>
  </si>
  <si>
    <t>Nat Gas</t>
  </si>
  <si>
    <t>Solid Waste</t>
  </si>
  <si>
    <t>Contra Costa</t>
  </si>
  <si>
    <t>Marin</t>
  </si>
  <si>
    <t>Napa</t>
  </si>
  <si>
    <t>San Francisco</t>
  </si>
  <si>
    <t>San Mateo</t>
  </si>
  <si>
    <t>Santa Clara</t>
  </si>
  <si>
    <t>Solano</t>
  </si>
  <si>
    <t>Sonoma</t>
  </si>
  <si>
    <t>Transportation</t>
  </si>
  <si>
    <t>County/pop.</t>
  </si>
  <si>
    <t>per capita</t>
  </si>
  <si>
    <t>GWhrs</t>
  </si>
  <si>
    <t>CCA</t>
  </si>
  <si>
    <t>fleet mpg (3)</t>
  </si>
  <si>
    <t>County/pop. (a)</t>
  </si>
  <si>
    <t>(3) Average Fuel Efficiency of U.S. Light Duty Vehicles, Bureau of Transportation Statistics. This is representative of the light duty passenger vehicle feet as a whole, including both new and existing vehicles. https://www.bts.gov/content/average-fuel-efficiency-us-light-duty-vehicles</t>
  </si>
  <si>
    <t>NOTE</t>
  </si>
  <si>
    <t>(2) Greenhouse Gas Emissions from a Typical  Passenger Vehicle, US EPA fact sheet. https://nepis.epa.gov/Exe/ZyPDF.cgi?Dockey=P100U8YT.pdf</t>
  </si>
  <si>
    <t>EF g/mile</t>
  </si>
  <si>
    <t>GHG metric tons (2)</t>
  </si>
  <si>
    <t>GHG metric tons</t>
  </si>
  <si>
    <t>1,000 miles (1)</t>
  </si>
  <si>
    <t>Bay Area</t>
  </si>
  <si>
    <t>https://www.epa.gov/sites/production/files/2016-03/documents/warm_v14_management_practices.pdf (page 86)</t>
  </si>
  <si>
    <t xml:space="preserve">1,000 miles (1) </t>
  </si>
  <si>
    <t>GHG (3)</t>
  </si>
  <si>
    <t>(3) USEPA Greenhouse Gases Equivalencies,  0.0053 metric tons CO2/therm    https://www.epa.gov/energy/greenhouse-gases-equivalencies-calculator-calculations-and-references</t>
  </si>
  <si>
    <t xml:space="preserve">(4) USEPA WARM Version 14  GHG from Landfill Waste  0.24 MTCO2E/Ton   https://www.epa.gov/warm/versions-waste-reduction-model-warm#WARM%20Tool%20V14 </t>
  </si>
  <si>
    <t>total GWhrs (2)</t>
  </si>
  <si>
    <t>GHG (4)</t>
  </si>
  <si>
    <t>Total GHG</t>
  </si>
  <si>
    <t>lbs CO2e/MWh</t>
  </si>
  <si>
    <t>PG&amp;E CO2e coef</t>
  </si>
  <si>
    <t>metric tons</t>
  </si>
  <si>
    <t>CCAs</t>
  </si>
  <si>
    <t>CleanPowerSF</t>
  </si>
  <si>
    <t>East Bay Community Energy</t>
  </si>
  <si>
    <t>MCE Clean Energy</t>
  </si>
  <si>
    <t>Peninsula Clean Energy</t>
  </si>
  <si>
    <t>San Jose Clean Energy</t>
  </si>
  <si>
    <t>Silicon Valley Clean Energy</t>
  </si>
  <si>
    <t>Sonoma Clean Power</t>
  </si>
  <si>
    <t>launch year</t>
  </si>
  <si>
    <t>Counties</t>
  </si>
  <si>
    <t>SF</t>
  </si>
  <si>
    <t>Santa Clara (portion)</t>
  </si>
  <si>
    <t>CCA start</t>
  </si>
  <si>
    <t>CCA start 2010</t>
  </si>
  <si>
    <t>CCA start (SJCE)</t>
  </si>
  <si>
    <t>CCA start (SVCE)</t>
  </si>
  <si>
    <t>CCA start (MCE)</t>
  </si>
  <si>
    <t>Marin (2010), Napa (2014), Contra Costa (2018),  Solano (2020)</t>
  </si>
  <si>
    <t>CCA GHG</t>
  </si>
  <si>
    <t xml:space="preserve">metric tons </t>
  </si>
  <si>
    <t>GHG total</t>
  </si>
  <si>
    <t>CCA CO2e coef</t>
  </si>
  <si>
    <t>GHG per capita</t>
  </si>
  <si>
    <t xml:space="preserve"> metric ton/year</t>
  </si>
  <si>
    <t>CO2e emission  coefficients</t>
  </si>
  <si>
    <t>Small hydro</t>
  </si>
  <si>
    <t>Solar</t>
  </si>
  <si>
    <t>Wind</t>
  </si>
  <si>
    <t>Coal</t>
  </si>
  <si>
    <t>Large Hydro</t>
  </si>
  <si>
    <t>Natural Gas</t>
  </si>
  <si>
    <t>Nuclear</t>
  </si>
  <si>
    <t>Other</t>
  </si>
  <si>
    <t>MT CO2e/therm</t>
  </si>
  <si>
    <t>MTCO2e / MWh</t>
  </si>
  <si>
    <t xml:space="preserve">Biomass </t>
  </si>
  <si>
    <t xml:space="preserve">Geothermal </t>
  </si>
  <si>
    <t xml:space="preserve"> lbs/MWhr</t>
  </si>
  <si>
    <t>source</t>
  </si>
  <si>
    <t>CARB</t>
  </si>
  <si>
    <t>SCP/TCR</t>
  </si>
  <si>
    <t>MT CO2e/MWh</t>
  </si>
  <si>
    <t>0.994 metric tons per MWh or 2,190 lbs per MWh for non-specified coal-based energy imported to California from the PSW - CSRB</t>
  </si>
  <si>
    <t>https://ww3.arb.ca.gov/cc/ccei/presentations/oos_emissionfactors.pdf</t>
  </si>
  <si>
    <t>units</t>
  </si>
  <si>
    <t>Geothermal</t>
  </si>
  <si>
    <t>LSE</t>
  </si>
  <si>
    <t>PG&amp;E</t>
  </si>
  <si>
    <t>Biomass %</t>
  </si>
  <si>
    <t>Nat. Gas</t>
  </si>
  <si>
    <t>Unspecified</t>
  </si>
  <si>
    <t>GHG tons</t>
  </si>
  <si>
    <t>lbs/MWh</t>
  </si>
  <si>
    <t>lbs CO2/MWh</t>
  </si>
  <si>
    <t xml:space="preserve"> 0.414 metric tons per MWh or 914 lbs per MWh for non-specified natural gas-based energy</t>
  </si>
  <si>
    <t xml:space="preserve">MCE </t>
  </si>
  <si>
    <t xml:space="preserve">TCR </t>
  </si>
  <si>
    <t xml:space="preserve">Estimated  CO2 emissions </t>
  </si>
  <si>
    <t xml:space="preserve">Other </t>
  </si>
  <si>
    <t>TCR</t>
  </si>
  <si>
    <t>percent</t>
  </si>
  <si>
    <t>SFWater/TCR</t>
  </si>
  <si>
    <t>Silicon Valley Clean Energy (GreenStart)</t>
  </si>
  <si>
    <t>Peninsula Clean Energy (ECOplus)</t>
  </si>
  <si>
    <t>Clean Power SF (Green)</t>
  </si>
  <si>
    <t>Marin Clean Energy (Light Green)</t>
  </si>
  <si>
    <t>Sonoma Clean Power (CleanStart)</t>
  </si>
  <si>
    <t>MCE note</t>
  </si>
  <si>
    <t>PCL estimate</t>
  </si>
  <si>
    <t>MMT</t>
  </si>
  <si>
    <t>non-CCA</t>
  </si>
  <si>
    <t>metric tons/capita</t>
  </si>
  <si>
    <t>total electricity</t>
  </si>
  <si>
    <t>Tons (5)</t>
  </si>
  <si>
    <t>(5) CalRecycle Disposal Reporting System, https://www2.calrecycle.ca.gov/</t>
  </si>
  <si>
    <t>Therms (2)</t>
  </si>
  <si>
    <t>(2) CA Energy Commission Energy Reports  http://www.ecdms.energy.ca.gov/</t>
  </si>
  <si>
    <t>MMT GHG</t>
  </si>
  <si>
    <t>GHG MMT</t>
  </si>
  <si>
    <t>MT/capita</t>
  </si>
  <si>
    <t>aggregate</t>
  </si>
  <si>
    <t>MCE county distribution</t>
  </si>
  <si>
    <t>population</t>
  </si>
  <si>
    <r>
      <t>Contra Costa</t>
    </r>
    <r>
      <rPr>
        <sz val="8"/>
        <color theme="1"/>
        <rFont val="Calibri (Body)"/>
      </rPr>
      <t>(b)</t>
    </r>
  </si>
  <si>
    <t>(a) MCE service began in mid-2014 for residents and businesses in Napa</t>
  </si>
  <si>
    <t xml:space="preserve">(b) MCE service began in April 2018 for residents and businesses in Concord, Danville, Martinez, Moraga, Oakley, Pinole, Pittsburg, San Ramon and unincorporated Contra Costa County </t>
  </si>
  <si>
    <r>
      <t>Napa</t>
    </r>
    <r>
      <rPr>
        <sz val="8"/>
        <color theme="1"/>
        <rFont val="Calibri (Body)"/>
      </rPr>
      <t>(a)</t>
    </r>
  </si>
  <si>
    <r>
      <t>MCE total GWhrs</t>
    </r>
    <r>
      <rPr>
        <sz val="8"/>
        <color theme="1"/>
        <rFont val="Calibri (Body)"/>
      </rPr>
      <t>(c)</t>
    </r>
  </si>
  <si>
    <t>(c) Schedule 2 Annual Report to CEC Power Source Disclosure Program</t>
  </si>
  <si>
    <r>
      <t>CCA</t>
    </r>
    <r>
      <rPr>
        <sz val="8"/>
        <color theme="1"/>
        <rFont val="Calibri (Body)"/>
      </rPr>
      <t xml:space="preserve"> (b)</t>
    </r>
  </si>
  <si>
    <r>
      <t xml:space="preserve">total GWhrs </t>
    </r>
    <r>
      <rPr>
        <sz val="8"/>
        <color theme="1"/>
        <rFont val="Calibri (Body)"/>
      </rPr>
      <t>(a)</t>
    </r>
  </si>
  <si>
    <t>(a) CA Energy Commission Energy Reports  http://www.ecdms.energy.ca.gov/</t>
  </si>
  <si>
    <t>total energy use</t>
  </si>
  <si>
    <t>https://ww3.arb.ca.gov/cc/inventory/doc/docs1/1a1ai_importedelectricityunspecified_pacificsouthwest_electricitygeneration_unspecifiedsources_co2_2017.htm</t>
  </si>
  <si>
    <t>CARB Greenhouse Gas Inventory</t>
  </si>
  <si>
    <t xml:space="preserve">Unspecified 2014-2017 </t>
  </si>
  <si>
    <r>
      <t xml:space="preserve">PG&amp;E </t>
    </r>
    <r>
      <rPr>
        <sz val="10"/>
        <color theme="1"/>
        <rFont val="Calibri (Body)"/>
      </rPr>
      <t>(a)</t>
    </r>
  </si>
  <si>
    <t>(c) 427 g of CO2 per kWh of Unspecified sources  https://ww3.arb.ca.gov/cc/inventory/doc/docs1/1a1ai_importedelectricityunspecified_pacificsouthwest_electricitygeneration_unspecifiedsources_co2_2017.htm</t>
  </si>
  <si>
    <r>
      <rPr>
        <sz val="12"/>
        <color theme="1"/>
        <rFont val="Calibri (Body)"/>
      </rPr>
      <t>Unspecified</t>
    </r>
    <r>
      <rPr>
        <sz val="10"/>
        <color theme="1"/>
        <rFont val="Calibri (Body)"/>
      </rPr>
      <t xml:space="preserve"> (c)</t>
    </r>
  </si>
  <si>
    <t>PG&amp;E GHG</t>
  </si>
  <si>
    <t>GHG</t>
  </si>
  <si>
    <t>millions of gallons</t>
  </si>
  <si>
    <t>Vehicle Fuel GHG</t>
  </si>
  <si>
    <t>8.887 kg/gallon</t>
  </si>
  <si>
    <t>10.18 kg/gallon</t>
  </si>
  <si>
    <t>Gasoline sales (4)</t>
  </si>
  <si>
    <t>Diesel sales (4)</t>
  </si>
  <si>
    <t>(1) CalTrans California Public Road Data, daily miles in 1,000's derived from HPMS. https://dot.ca.gov/-/media/dot-media/programs/research-innovation-system-information/documents/california-public-road-data/prd2017-a11y.pdf   OR   https://dot.ca.gov/programs/research-innovation-system-information/highway-performance-monitoring-system</t>
  </si>
  <si>
    <t>(4) California Annual Retail Fuel Outlet Report Results (CEC-A15) (diesel and gasoline)</t>
  </si>
  <si>
    <t>Transportation (daily)</t>
  </si>
  <si>
    <t>Deep Green (3.6%)</t>
  </si>
  <si>
    <t>Light Green (96.4%)</t>
  </si>
  <si>
    <t>SuperGreen (4.8%)</t>
  </si>
  <si>
    <t>Green (95.2%)</t>
  </si>
  <si>
    <t>ECO100 (7.2%)</t>
  </si>
  <si>
    <t>ECOPlus (92.8%)</t>
  </si>
  <si>
    <t>GreenPrime (3.7%)</t>
  </si>
  <si>
    <t>GreenStart (96.3%)</t>
  </si>
  <si>
    <t>Bright (82%)</t>
  </si>
  <si>
    <t>Brilliant (18%)</t>
  </si>
  <si>
    <t>Brilliant (15.4%)</t>
  </si>
  <si>
    <t>Bright (84.6%)</t>
  </si>
  <si>
    <t>East Bay Community Energy distribution</t>
  </si>
  <si>
    <t>Alameda County total</t>
  </si>
  <si>
    <r>
      <t>EBCE population</t>
    </r>
    <r>
      <rPr>
        <sz val="8"/>
        <color theme="1"/>
        <rFont val="Calibri (Body)"/>
      </rPr>
      <t>(e)</t>
    </r>
  </si>
  <si>
    <r>
      <t>EBCE total GWhrs</t>
    </r>
    <r>
      <rPr>
        <sz val="8"/>
        <color theme="1"/>
        <rFont val="Calibri (Body)"/>
      </rPr>
      <t>(c)</t>
    </r>
  </si>
  <si>
    <t>unspecified Alameda County GWhrs</t>
  </si>
  <si>
    <t>total Alameda County GWhrs</t>
  </si>
  <si>
    <t>(d) EBCE service began in 2018 for residents and businesses in Alameda County, some Cities</t>
  </si>
  <si>
    <t>(e) member cities: Albany, Berkeley, Dublin, Emeryville, Fremont, Hayward, Livermore, Oakland, Piedmont, San Leandro, and Union City</t>
  </si>
  <si>
    <t>non-member Alameda County cities: Alameda (city), Castro Valley, Pleasanton, Newark</t>
  </si>
  <si>
    <t>(33631 customers)</t>
  </si>
  <si>
    <t>Alameda City GWh</t>
  </si>
  <si>
    <t>Santa Clara CCA emissions</t>
  </si>
  <si>
    <t>SJCE MWh</t>
  </si>
  <si>
    <t>SVCE MWh</t>
  </si>
  <si>
    <t>SJCE EF</t>
  </si>
  <si>
    <t>SVCE EF</t>
  </si>
  <si>
    <t>Weighted EF</t>
  </si>
  <si>
    <t>(d) 2020 – The unincorporated communities of Solano County join MCE</t>
  </si>
  <si>
    <t>(d) Unspecified: the assignment of CO2 emissions from sources other than CCA and PG&amp;E residential based on electricity use measured by CEC</t>
  </si>
  <si>
    <t>Total year-by-year</t>
  </si>
  <si>
    <t>GHG change</t>
  </si>
  <si>
    <t>(b) Schedule 2 or 3 Annual Report to CEC Power Source Disclosure Program (except MCE, SCP)</t>
  </si>
  <si>
    <t>2014-2019</t>
  </si>
  <si>
    <t>Summary 2014 - 2019 for Data Visualization</t>
  </si>
  <si>
    <t>Note on methodology: we found the total electricity consumed in each county using the CEC website. Then, using the "CCA Retail Sales and Electricity Consumption, Bay Area Counties 2013-2019" spreadsheet, which we received from the CEC, and the "Consumption by Entity" tab on this spreadsheet, we calculated PG&amp;E emissions. The sums on the "Consumption by Sector" tab on this spreadsheet for each county and year add up to the total electricity generated number that the CEC website gives us, which confirms that the numbers check out. This spreadsheet also incorporates CCA generation in each county within the PG&amp;E number for each county. Given this, we added only the PG&amp;E electricity for each county together -- R and NR -- knowing that this, plus the other unspecified sources on the "Consumption by Sector" tab would add to the CEC number for total electricity use in each county. We then used the PSD reports for each CCA to subtract the CCA electricity from the PG&amp;E electricity -- and that number gave us *actual* PG&amp;E electricity (because prior to subtracting the CCA numbers, the "PG&amp;E" number included CCA and PG&amp;E's electricity). This is how we included all electricity generation in a county -- R and NR -- and demonstrated the load-shedding of PG&amp;E as more CCAs came online throughout the Bay Area. The remaining electricity, subtracted from the county total, is unspecified electricity.</t>
  </si>
  <si>
    <t>*</t>
  </si>
  <si>
    <t>transportation</t>
  </si>
  <si>
    <t>year</t>
  </si>
  <si>
    <t>Waste</t>
  </si>
  <si>
    <t>or less (5)</t>
  </si>
  <si>
    <t>(5) The CARB 2019 GHG Trends Inventory shows an shifting proportions of biodiesel in diesel fuels, and ethanol in gasoline, in CA between 2014 and 2019. We incorporated this percentage in the diesel and gasoline emissions factors according to CARB and IPCC protocols. https://ww2.arb.ca.gov/ghg-inventory-data</t>
  </si>
  <si>
    <t>Elec</t>
  </si>
  <si>
    <t>Trans</t>
  </si>
  <si>
    <t>N Gas</t>
  </si>
  <si>
    <t>S Waste</t>
  </si>
  <si>
    <t>Total</t>
  </si>
  <si>
    <t xml:space="preserve"> </t>
  </si>
  <si>
    <t>Difference</t>
  </si>
  <si>
    <t>% change</t>
  </si>
  <si>
    <t>7.07 decrease = 52%</t>
  </si>
  <si>
    <t>3,699,384 difference = 18.6%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</si>
</sst>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0"/>
    <numFmt numFmtId="166" formatCode="0.00000%"/>
    <numFmt numFmtId="167" formatCode="0.000%"/>
  </numFmts>
  <fonts count="17">
    <font>
      <sz val="12"/>
      <color theme="1"/>
      <name val="Calibri"/>
      <family val="2"/>
      <scheme val="minor"/>
    </font>
    <font>
      <sz val="12"/>
      <color rgb="FF000000"/>
      <name val="Calibri"/>
      <family val="2"/>
      <scheme val="minor"/>
    </font>
    <font>
      <sz val="12"/>
      <color theme="4"/>
      <name val="Calibri"/>
      <family val="2"/>
      <scheme val="minor"/>
    </font>
    <font>
      <sz val="12"/>
      <color theme="1"/>
      <name val="Calibri"/>
      <family val="2"/>
    </font>
    <font>
      <sz val="10"/>
      <color theme="1"/>
      <name val="Arial"/>
      <family val="2"/>
    </font>
    <font>
      <sz val="11"/>
      <color rgb="FF000000"/>
      <name val="Calibri"/>
      <family val="2"/>
      <scheme val="minor"/>
    </font>
    <font>
      <sz val="10"/>
      <color theme="1"/>
      <name val="Calibri"/>
      <family val="2"/>
      <scheme val="minor"/>
    </font>
    <font>
      <sz val="24"/>
      <color rgb="FFFF0000"/>
      <name val="Calibri (Body)"/>
    </font>
    <font>
      <sz val="8"/>
      <color theme="1"/>
      <name val="Calibri (Body)"/>
    </font>
    <font>
      <sz val="12"/>
      <color theme="1"/>
      <name val="Calibri"/>
      <family val="2"/>
      <scheme val="minor"/>
    </font>
    <font>
      <sz val="12"/>
      <color indexed="8"/>
      <name val="Calibri"/>
      <family val="2"/>
      <scheme val="minor"/>
    </font>
    <font>
      <sz val="10"/>
      <color theme="1"/>
      <name val="Calibri (Body)"/>
    </font>
    <font>
      <sz val="12"/>
      <color theme="1"/>
      <name val="Calibri (Body)"/>
    </font>
    <font>
      <sz val="11"/>
      <color rgb="FF9C5700"/>
      <name val="Calibri"/>
      <family val="2"/>
      <scheme val="minor"/>
    </font>
    <font>
      <b/>
      <sz val="12"/>
      <color rgb="FF000000"/>
      <name val="Calibri"/>
      <family val="2"/>
      <scheme val="minor"/>
    </font>
    <font>
      <sz val="11"/>
      <color rgb="FF006100"/>
      <name val="Calibri"/>
      <family val="2"/>
      <scheme val="minor"/>
    </font>
    <font>
      <sz val="11"/>
      <color rgb="FF9C0006"/>
      <name val="Calibri"/>
      <family val="2"/>
      <scheme val="minor"/>
    </font>
  </fonts>
  <fills count="7">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theme="0" tint="-0.14999847407452621"/>
        <bgColor indexed="64"/>
      </patternFill>
    </fill>
  </fills>
  <borders count="2">
    <border>
      <left/>
      <right/>
      <top/>
      <bottom/>
      <diagonal/>
    </border>
    <border>
      <left/>
      <right style="medium">
        <color auto="1"/>
      </right>
      <top/>
      <bottom/>
      <diagonal/>
    </border>
  </borders>
  <cellStyleXfs count="6">
    <xf numFmtId="0" fontId="0" fillId="0" borderId="0"/>
    <xf numFmtId="43" fontId="9" fillId="0" borderId="0" applyFont="0" applyFill="0" applyBorder="0" applyAlignment="0" applyProtection="0"/>
    <xf numFmtId="0" fontId="13" fillId="2" borderId="0" applyNumberFormat="0" applyBorder="0" applyAlignment="0" applyProtection="0"/>
    <xf numFmtId="9" fontId="9"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76">
    <xf numFmtId="0" fontId="0" fillId="0" borderId="0" xfId="0"/>
    <xf numFmtId="0" fontId="0" fillId="0" borderId="0" xfId="0" applyAlignment="1">
      <alignment horizontal="center"/>
    </xf>
    <xf numFmtId="0" fontId="1" fillId="0" borderId="0" xfId="0" applyFont="1"/>
    <xf numFmtId="3" fontId="0" fillId="0" borderId="0" xfId="0" applyNumberFormat="1"/>
    <xf numFmtId="3" fontId="0" fillId="0" borderId="0" xfId="0" applyNumberFormat="1" applyAlignment="1">
      <alignment horizontal="center"/>
    </xf>
    <xf numFmtId="3" fontId="1" fillId="0" borderId="0" xfId="0" applyNumberFormat="1" applyFont="1"/>
    <xf numFmtId="164" fontId="0" fillId="0" borderId="0" xfId="0" applyNumberFormat="1"/>
    <xf numFmtId="3" fontId="2" fillId="0" borderId="0" xfId="0" applyNumberFormat="1" applyFont="1"/>
    <xf numFmtId="2" fontId="0" fillId="0" borderId="0" xfId="0" applyNumberFormat="1"/>
    <xf numFmtId="2" fontId="0" fillId="0" borderId="0" xfId="0" applyNumberFormat="1" applyAlignment="1">
      <alignment horizontal="center"/>
    </xf>
    <xf numFmtId="4" fontId="0" fillId="0" borderId="0" xfId="0" applyNumberFormat="1"/>
    <xf numFmtId="3" fontId="3" fillId="0" borderId="0" xfId="0" applyNumberFormat="1" applyFont="1"/>
    <xf numFmtId="0" fontId="0" fillId="0" borderId="0" xfId="0" applyFont="1"/>
    <xf numFmtId="0" fontId="0" fillId="0" borderId="0" xfId="0" applyAlignment="1">
      <alignment horizontal="center" vertical="center"/>
    </xf>
    <xf numFmtId="3" fontId="0" fillId="0" borderId="0" xfId="0" applyNumberFormat="1" applyAlignment="1">
      <alignment horizontal="center" vertical="center"/>
    </xf>
    <xf numFmtId="1" fontId="0" fillId="0" borderId="0" xfId="0" applyNumberFormat="1"/>
    <xf numFmtId="3" fontId="0" fillId="0" borderId="0" xfId="0" applyNumberFormat="1" applyAlignment="1">
      <alignment horizontal="right"/>
    </xf>
    <xf numFmtId="2" fontId="0" fillId="0" borderId="0" xfId="0" applyNumberFormat="1" applyAlignment="1">
      <alignment horizontal="center" vertical="center"/>
    </xf>
    <xf numFmtId="4" fontId="0" fillId="0" borderId="0" xfId="0" applyNumberFormat="1" applyAlignment="1">
      <alignment horizontal="center" vertical="center"/>
    </xf>
    <xf numFmtId="4" fontId="0" fillId="0" borderId="0" xfId="0" applyNumberFormat="1" applyAlignment="1">
      <alignment horizontal="center"/>
    </xf>
    <xf numFmtId="4" fontId="3" fillId="0" borderId="0" xfId="0" applyNumberFormat="1" applyFont="1"/>
    <xf numFmtId="4" fontId="1" fillId="0" borderId="0" xfId="0" applyNumberFormat="1" applyFont="1"/>
    <xf numFmtId="4" fontId="0" fillId="0" borderId="0" xfId="0" applyNumberFormat="1" applyAlignment="1">
      <alignment horizontal="left" vertical="center"/>
    </xf>
    <xf numFmtId="4" fontId="0" fillId="0" borderId="0" xfId="0" applyNumberFormat="1" applyAlignment="1">
      <alignment horizontal="left"/>
    </xf>
    <xf numFmtId="4" fontId="0" fillId="0" borderId="0" xfId="0" applyNumberFormat="1" applyAlignment="1">
      <alignment horizontal="right" vertical="center"/>
    </xf>
    <xf numFmtId="0" fontId="7" fillId="0" borderId="0" xfId="0" applyFont="1"/>
    <xf numFmtId="3" fontId="0" fillId="0" borderId="0" xfId="0" applyNumberFormat="1" applyFill="1" applyAlignment="1">
      <alignment horizontal="right"/>
    </xf>
    <xf numFmtId="0" fontId="0" fillId="0" borderId="0" xfId="0" applyFill="1"/>
    <xf numFmtId="3" fontId="0" fillId="0" borderId="0" xfId="0" applyNumberFormat="1" applyFill="1"/>
    <xf numFmtId="2" fontId="0" fillId="0" borderId="0" xfId="0" applyNumberFormat="1" applyFill="1"/>
    <xf numFmtId="3" fontId="10" fillId="0" borderId="0" xfId="1" applyNumberFormat="1" applyFont="1" applyFill="1" applyBorder="1" applyAlignment="1">
      <alignment horizontal="right" wrapText="1"/>
    </xf>
    <xf numFmtId="3" fontId="0" fillId="0" borderId="1" xfId="0" applyNumberFormat="1" applyBorder="1"/>
    <xf numFmtId="3" fontId="0" fillId="0" borderId="0" xfId="0" applyNumberFormat="1" applyBorder="1"/>
    <xf numFmtId="3" fontId="0" fillId="0" borderId="0" xfId="0" applyNumberFormat="1" applyAlignment="1">
      <alignment horizontal="left"/>
    </xf>
    <xf numFmtId="9" fontId="0" fillId="0" borderId="0" xfId="3" applyFont="1"/>
    <xf numFmtId="10" fontId="0" fillId="0" borderId="0" xfId="3" applyNumberFormat="1" applyFont="1"/>
    <xf numFmtId="165" fontId="0" fillId="0" borderId="0" xfId="0" applyNumberFormat="1"/>
    <xf numFmtId="166" fontId="0" fillId="0" borderId="0" xfId="3" applyNumberFormat="1" applyFont="1"/>
    <xf numFmtId="1" fontId="0" fillId="0" borderId="0" xfId="0" applyNumberFormat="1" applyFill="1"/>
    <xf numFmtId="0" fontId="0" fillId="0" borderId="0" xfId="0" applyFill="1" applyAlignment="1">
      <alignment horizontal="right"/>
    </xf>
    <xf numFmtId="4" fontId="0" fillId="0" borderId="0" xfId="0" applyNumberFormat="1" applyFill="1"/>
    <xf numFmtId="0" fontId="0" fillId="0" borderId="0" xfId="0" applyFill="1" applyAlignment="1">
      <alignment horizontal="center" vertical="center"/>
    </xf>
    <xf numFmtId="0" fontId="6" fillId="0" borderId="0" xfId="0" applyFont="1" applyFill="1" applyAlignment="1">
      <alignment horizontal="center" vertical="center"/>
    </xf>
    <xf numFmtId="3" fontId="0" fillId="0" borderId="0" xfId="0" applyNumberFormat="1" applyFill="1" applyAlignment="1">
      <alignment horizontal="center" vertical="center"/>
    </xf>
    <xf numFmtId="3" fontId="0" fillId="0" borderId="0" xfId="0" applyNumberFormat="1" applyFill="1" applyAlignment="1">
      <alignment horizontal="center"/>
    </xf>
    <xf numFmtId="3" fontId="12" fillId="0" borderId="0" xfId="0" applyNumberFormat="1" applyFont="1" applyFill="1" applyAlignment="1">
      <alignment horizontal="center" vertical="center"/>
    </xf>
    <xf numFmtId="3" fontId="11" fillId="0" borderId="0" xfId="0" applyNumberFormat="1" applyFont="1" applyFill="1" applyAlignment="1">
      <alignment horizontal="center" vertical="center"/>
    </xf>
    <xf numFmtId="1" fontId="0" fillId="0" borderId="0" xfId="0" applyNumberFormat="1" applyFill="1" applyAlignment="1">
      <alignment horizontal="center" vertical="center"/>
    </xf>
    <xf numFmtId="2" fontId="0" fillId="0" borderId="0" xfId="0" applyNumberFormat="1" applyFill="1" applyAlignment="1">
      <alignment horizontal="center"/>
    </xf>
    <xf numFmtId="2" fontId="0" fillId="0" borderId="0" xfId="0" applyNumberFormat="1" applyFill="1" applyAlignment="1">
      <alignment horizontal="center" vertical="center"/>
    </xf>
    <xf numFmtId="0" fontId="1" fillId="0" borderId="0" xfId="0" applyFont="1" applyFill="1"/>
    <xf numFmtId="0" fontId="4" fillId="0" borderId="0" xfId="0" applyFont="1" applyFill="1"/>
    <xf numFmtId="0" fontId="4" fillId="0" borderId="0" xfId="0" applyFont="1" applyFill="1" applyAlignment="1">
      <alignment horizontal="center" vertical="center"/>
    </xf>
    <xf numFmtId="0" fontId="5" fillId="0" borderId="0" xfId="0" applyFont="1" applyFill="1"/>
    <xf numFmtId="3" fontId="5" fillId="0" borderId="0" xfId="0" applyNumberFormat="1" applyFont="1" applyFill="1"/>
    <xf numFmtId="0" fontId="4" fillId="0" borderId="0" xfId="0" applyFont="1" applyFill="1" applyAlignment="1">
      <alignment horizontal="right"/>
    </xf>
    <xf numFmtId="1" fontId="4" fillId="0" borderId="0" xfId="0" applyNumberFormat="1" applyFont="1" applyFill="1"/>
    <xf numFmtId="3" fontId="4" fillId="0" borderId="0" xfId="0" applyNumberFormat="1" applyFont="1" applyFill="1"/>
    <xf numFmtId="0" fontId="0" fillId="0" borderId="0" xfId="0" applyFill="1" applyAlignment="1">
      <alignment horizontal="center"/>
    </xf>
    <xf numFmtId="3" fontId="1" fillId="0" borderId="0" xfId="0" applyNumberFormat="1" applyFont="1" applyFill="1"/>
    <xf numFmtId="3" fontId="3" fillId="0" borderId="0" xfId="0" applyNumberFormat="1" applyFont="1" applyFill="1"/>
    <xf numFmtId="3" fontId="2" fillId="0" borderId="0" xfId="0" applyNumberFormat="1" applyFont="1" applyFill="1"/>
    <xf numFmtId="3" fontId="13" fillId="0" borderId="0" xfId="2" applyNumberFormat="1" applyFill="1"/>
    <xf numFmtId="0" fontId="14" fillId="0" borderId="0" xfId="0" applyFont="1" applyFill="1"/>
    <xf numFmtId="0" fontId="0" fillId="0" borderId="0" xfId="0" applyFill="1" applyAlignment="1">
      <alignment vertical="center"/>
    </xf>
    <xf numFmtId="9" fontId="0" fillId="0" borderId="0" xfId="3" applyFont="1" applyFill="1"/>
    <xf numFmtId="1" fontId="0" fillId="3" borderId="0" xfId="0" applyNumberFormat="1" applyFill="1"/>
    <xf numFmtId="3" fontId="0" fillId="3" borderId="0" xfId="0" applyNumberFormat="1" applyFill="1"/>
    <xf numFmtId="0" fontId="0" fillId="0" borderId="0" xfId="0" applyAlignment="1">
      <alignment horizontal="left"/>
    </xf>
    <xf numFmtId="167" fontId="0" fillId="0" borderId="0" xfId="3" applyNumberFormat="1" applyFont="1"/>
    <xf numFmtId="0" fontId="0" fillId="6" borderId="0" xfId="0" applyFill="1"/>
    <xf numFmtId="9" fontId="0" fillId="0" borderId="0" xfId="0" applyNumberFormat="1"/>
    <xf numFmtId="9" fontId="15" fillId="4" borderId="0" xfId="4" applyNumberFormat="1"/>
    <xf numFmtId="9" fontId="16" fillId="5" borderId="0" xfId="5" applyNumberFormat="1"/>
    <xf numFmtId="3" fontId="15" fillId="4" borderId="0" xfId="4" applyNumberFormat="1"/>
    <xf numFmtId="3" fontId="16" fillId="5" borderId="0" xfId="5" applyNumberFormat="1"/>
  </cellXfs>
  <cellStyles count="6">
    <cellStyle name="Bad" xfId="5" builtinId="27"/>
    <cellStyle name="Comma" xfId="1" builtinId="3"/>
    <cellStyle name="Good" xfId="4" builtinId="26"/>
    <cellStyle name="Neutral" xfId="2" builtinId="28"/>
    <cellStyle name="Normal" xfId="0" builtinId="0"/>
    <cellStyle name="Percent" xfId="3" builtinId="5"/>
  </cellStyles>
  <dxfs count="2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9A4C"/>
      <color rgb="FF11B5E9"/>
      <color rgb="FF0081C5"/>
      <color rgb="FFFDB515"/>
      <color rgb="FFCCFF66"/>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sz="1800"/>
              <a:t>Transportation</a:t>
            </a:r>
            <a:r>
              <a:rPr lang="en-US" sz="1800" baseline="0"/>
              <a:t> Emissions by County</a:t>
            </a:r>
            <a:endParaRPr lang="en-US" sz="1800"/>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'data for charts'!$G$82</c:f>
              <c:strCache>
                <c:ptCount val="1"/>
                <c:pt idx="0">
                  <c:v>2014</c:v>
                </c:pt>
              </c:strCache>
            </c:strRef>
          </c:tx>
          <c:spPr>
            <a:solidFill>
              <a:srgbClr val="FDB515"/>
            </a:solidFill>
            <a:ln>
              <a:noFill/>
            </a:ln>
            <a:effectLst/>
          </c:spPr>
          <c:invertIfNegative val="0"/>
          <c:cat>
            <c:strRef>
              <c:f>'data for charts'!$H$81:$P$81</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'data for charts'!$H$82:$P$82</c:f>
              <c:numCache>
                <c:formatCode>0.000</c:formatCode>
                <c:ptCount val="9"/>
                <c:pt idx="0" formatCode="#,##0.00">
                  <c:v>4.1536147810000008</c:v>
                </c:pt>
                <c:pt idx="1">
                  <c:v>3.2727587720000004</c:v>
                </c:pt>
                <c:pt idx="2">
                  <c:v>0.61424342499999995</c:v>
                </c:pt>
                <c:pt idx="3">
                  <c:v>0.33806244900000004</c:v>
                </c:pt>
                <c:pt idx="4">
                  <c:v>0.82851788200000009</c:v>
                </c:pt>
                <c:pt idx="5">
                  <c:v>1.8744746390000002</c:v>
                </c:pt>
                <c:pt idx="6">
                  <c:v>5.5788966510000009</c:v>
                </c:pt>
                <c:pt idx="7">
                  <c:v>1.4300284970000001</c:v>
                </c:pt>
                <c:pt idx="8">
                  <c:v>1.8283902100000002</c:v>
                </c:pt>
              </c:numCache>
            </c:numRef>
          </c:val>
          <c:extLst>
            <c:ext xmlns:c16="http://schemas.microsoft.com/office/drawing/2014/chart" uri="{C3380CC4-5D6E-409C-BE32-E72D297353CC}">
              <c16:uniqueId val="{00000000-71D7-4694-891E-B5A2E79D2AA9}"/>
            </c:ext>
          </c:extLst>
        </c:ser>
        <c:ser>
          <c:idx val="1"/>
          <c:order val="1"/>
          <c:tx>
            <c:strRef>
              <c:f>'data for charts'!$G$83</c:f>
              <c:strCache>
                <c:ptCount val="1"/>
                <c:pt idx="0">
                  <c:v>2015</c:v>
                </c:pt>
              </c:strCache>
            </c:strRef>
          </c:tx>
          <c:spPr>
            <a:solidFill>
              <a:srgbClr val="0081C5"/>
            </a:solidFill>
            <a:ln>
              <a:noFill/>
            </a:ln>
            <a:effectLst/>
          </c:spPr>
          <c:invertIfNegative val="0"/>
          <c:cat>
            <c:strRef>
              <c:f>'data for charts'!$H$81:$P$81</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'data for charts'!$H$83:$P$83</c:f>
              <c:numCache>
                <c:formatCode>0.000</c:formatCode>
                <c:ptCount val="9"/>
                <c:pt idx="0" formatCode="#,##0.00">
                  <c:v>4.7728866320000005</c:v>
                </c:pt>
                <c:pt idx="1">
                  <c:v>3.2517549200000002</c:v>
                </c:pt>
                <c:pt idx="2">
                  <c:v>0.86534960999999999</c:v>
                </c:pt>
                <c:pt idx="3">
                  <c:v>0.57582481800000007</c:v>
                </c:pt>
                <c:pt idx="4">
                  <c:v>1.124179244</c:v>
                </c:pt>
                <c:pt idx="5">
                  <c:v>2.5995776440000005</c:v>
                </c:pt>
                <c:pt idx="6">
                  <c:v>6.2310210220000002</c:v>
                </c:pt>
                <c:pt idx="7">
                  <c:v>1.768452006</c:v>
                </c:pt>
                <c:pt idx="8">
                  <c:v>1.7867149259999999</c:v>
                </c:pt>
              </c:numCache>
            </c:numRef>
          </c:val>
          <c:extLst>
            <c:ext xmlns:c16="http://schemas.microsoft.com/office/drawing/2014/chart" uri="{C3380CC4-5D6E-409C-BE32-E72D297353CC}">
              <c16:uniqueId val="{00000001-71D7-4694-891E-B5A2E79D2AA9}"/>
            </c:ext>
          </c:extLst>
        </c:ser>
        <c:ser>
          <c:idx val="2"/>
          <c:order val="2"/>
          <c:tx>
            <c:strRef>
              <c:f>'data for charts'!$G$84</c:f>
              <c:strCache>
                <c:ptCount val="1"/>
                <c:pt idx="0">
                  <c:v>2016</c:v>
                </c:pt>
              </c:strCache>
            </c:strRef>
          </c:tx>
          <c:spPr>
            <a:solidFill>
              <a:srgbClr val="11B5E9"/>
            </a:solidFill>
            <a:ln>
              <a:noFill/>
            </a:ln>
            <a:effectLst/>
          </c:spPr>
          <c:invertIfNegative val="0"/>
          <c:cat>
            <c:strRef>
              <c:f>'data for charts'!$H$81:$P$81</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'data for charts'!$H$84:$P$84</c:f>
              <c:numCache>
                <c:formatCode>0.000</c:formatCode>
                <c:ptCount val="9"/>
                <c:pt idx="0" formatCode="#,##0.00">
                  <c:v>5.1334917539999996</c:v>
                </c:pt>
                <c:pt idx="1">
                  <c:v>3.6789870769999999</c:v>
                </c:pt>
                <c:pt idx="2">
                  <c:v>0.85179299400000008</c:v>
                </c:pt>
                <c:pt idx="3">
                  <c:v>0.51776451899999998</c:v>
                </c:pt>
                <c:pt idx="4">
                  <c:v>1.1255529379999998</c:v>
                </c:pt>
                <c:pt idx="5">
                  <c:v>2.7250454950000003</c:v>
                </c:pt>
                <c:pt idx="6">
                  <c:v>6.0391623990000003</c:v>
                </c:pt>
                <c:pt idx="7">
                  <c:v>1.84804389</c:v>
                </c:pt>
                <c:pt idx="8">
                  <c:v>1.8750966230000001</c:v>
                </c:pt>
              </c:numCache>
            </c:numRef>
          </c:val>
          <c:extLst>
            <c:ext xmlns:c16="http://schemas.microsoft.com/office/drawing/2014/chart" uri="{C3380CC4-5D6E-409C-BE32-E72D297353CC}">
              <c16:uniqueId val="{00000002-71D7-4694-891E-B5A2E79D2AA9}"/>
            </c:ext>
          </c:extLst>
        </c:ser>
        <c:ser>
          <c:idx val="3"/>
          <c:order val="3"/>
          <c:tx>
            <c:strRef>
              <c:f>'data for charts'!$G$85</c:f>
              <c:strCache>
                <c:ptCount val="1"/>
                <c:pt idx="0">
                  <c:v>2017</c:v>
                </c:pt>
              </c:strCache>
            </c:strRef>
          </c:tx>
          <c:spPr>
            <a:solidFill>
              <a:srgbClr val="009A4C"/>
            </a:solidFill>
            <a:ln>
              <a:noFill/>
            </a:ln>
            <a:effectLst/>
          </c:spPr>
          <c:invertIfNegative val="0"/>
          <c:cat>
            <c:strRef>
              <c:f>'data for charts'!$H$81:$P$81</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'data for charts'!$H$85:$P$85</c:f>
              <c:numCache>
                <c:formatCode>0.000</c:formatCode>
                <c:ptCount val="9"/>
                <c:pt idx="0" formatCode="#,##0.00">
                  <c:v>5.1629787410000008</c:v>
                </c:pt>
                <c:pt idx="1">
                  <c:v>3.6819539300000002</c:v>
                </c:pt>
                <c:pt idx="2">
                  <c:v>0.84284924700000008</c:v>
                </c:pt>
                <c:pt idx="3">
                  <c:v>0.48409679100000003</c:v>
                </c:pt>
                <c:pt idx="4">
                  <c:v>1.124148098</c:v>
                </c:pt>
                <c:pt idx="5">
                  <c:v>2.7553672420000002</c:v>
                </c:pt>
                <c:pt idx="6">
                  <c:v>5.7920333350000002</c:v>
                </c:pt>
                <c:pt idx="7">
                  <c:v>1.9422997389999999</c:v>
                </c:pt>
                <c:pt idx="8">
                  <c:v>1.8617042159999999</c:v>
                </c:pt>
              </c:numCache>
            </c:numRef>
          </c:val>
          <c:extLst>
            <c:ext xmlns:c16="http://schemas.microsoft.com/office/drawing/2014/chart" uri="{C3380CC4-5D6E-409C-BE32-E72D297353CC}">
              <c16:uniqueId val="{00000003-71D7-4694-891E-B5A2E79D2AA9}"/>
            </c:ext>
          </c:extLst>
        </c:ser>
        <c:ser>
          <c:idx val="4"/>
          <c:order val="4"/>
          <c:tx>
            <c:strRef>
              <c:f>'data for charts'!$G$86</c:f>
              <c:strCache>
                <c:ptCount val="1"/>
                <c:pt idx="0">
                  <c:v>2018</c:v>
                </c:pt>
              </c:strCache>
            </c:strRef>
          </c:tx>
          <c:spPr>
            <a:solidFill>
              <a:srgbClr val="FF3300"/>
            </a:solidFill>
            <a:ln>
              <a:noFill/>
            </a:ln>
            <a:effectLst/>
          </c:spPr>
          <c:invertIfNegative val="0"/>
          <c:cat>
            <c:strRef>
              <c:f>'data for charts'!$H$81:$P$81</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'data for charts'!$H$86:$P$86</c:f>
              <c:numCache>
                <c:formatCode>0.000</c:formatCode>
                <c:ptCount val="9"/>
                <c:pt idx="0" formatCode="#,##0.00">
                  <c:v>5.0654281000000019</c:v>
                </c:pt>
                <c:pt idx="1">
                  <c:v>3.4574129</c:v>
                </c:pt>
                <c:pt idx="2">
                  <c:v>0.68075069999999993</c:v>
                </c:pt>
                <c:pt idx="3">
                  <c:v>0.54597319999999994</c:v>
                </c:pt>
                <c:pt idx="4">
                  <c:v>1.0012795000000001</c:v>
                </c:pt>
                <c:pt idx="5">
                  <c:v>2.5725271000000003</c:v>
                </c:pt>
                <c:pt idx="6">
                  <c:v>5.5411485000000003</c:v>
                </c:pt>
                <c:pt idx="7">
                  <c:v>1.9350503000000001</c:v>
                </c:pt>
                <c:pt idx="8">
                  <c:v>1.7182010000000001</c:v>
                </c:pt>
              </c:numCache>
            </c:numRef>
          </c:val>
          <c:extLst>
            <c:ext xmlns:c16="http://schemas.microsoft.com/office/drawing/2014/chart" uri="{C3380CC4-5D6E-409C-BE32-E72D297353CC}">
              <c16:uniqueId val="{00000004-71D7-4694-891E-B5A2E79D2AA9}"/>
            </c:ext>
          </c:extLst>
        </c:ser>
        <c:ser>
          <c:idx val="5"/>
          <c:order val="5"/>
          <c:tx>
            <c:strRef>
              <c:f>'data for charts'!$G$87</c:f>
              <c:strCache>
                <c:ptCount val="1"/>
                <c:pt idx="0">
                  <c:v>2019</c:v>
                </c:pt>
              </c:strCache>
            </c:strRef>
          </c:tx>
          <c:spPr>
            <a:solidFill>
              <a:srgbClr val="92D050"/>
            </a:solidFill>
            <a:ln>
              <a:noFill/>
            </a:ln>
            <a:effectLst/>
          </c:spPr>
          <c:invertIfNegative val="0"/>
          <c:cat>
            <c:strRef>
              <c:f>'data for charts'!$H$81:$P$81</c:f>
              <c:strCache>
                <c:ptCount val="9"/>
                <c:pt idx="0">
                  <c:v>Alameda</c:v>
                </c:pt>
                <c:pt idx="1">
                  <c:v>Contra Costa</c:v>
                </c:pt>
                <c:pt idx="2">
                  <c:v>Marin</c:v>
                </c:pt>
                <c:pt idx="3">
                  <c:v>Napa</c:v>
                </c:pt>
                <c:pt idx="4">
                  <c:v>San Francisco</c:v>
                </c:pt>
                <c:pt idx="5">
                  <c:v>San Mateo</c:v>
                </c:pt>
                <c:pt idx="6">
                  <c:v>Santa Clara</c:v>
                </c:pt>
                <c:pt idx="7">
                  <c:v>Solano</c:v>
                </c:pt>
                <c:pt idx="8">
                  <c:v>Sonoma</c:v>
                </c:pt>
              </c:strCache>
            </c:strRef>
          </c:cat>
          <c:val>
            <c:numRef>
              <c:f>'data for charts'!$H$87:$P$87</c:f>
              <c:numCache>
                <c:formatCode>0.000</c:formatCode>
                <c:ptCount val="9"/>
                <c:pt idx="0" formatCode="#,##0.00">
                  <c:v>5.1467866340000015</c:v>
                </c:pt>
                <c:pt idx="1">
                  <c:v>3.6237862580000009</c:v>
                </c:pt>
                <c:pt idx="2">
                  <c:v>0.79930942400000005</c:v>
                </c:pt>
                <c:pt idx="3">
                  <c:v>0.50900727800000001</c:v>
                </c:pt>
                <c:pt idx="4">
                  <c:v>0.9831046320000002</c:v>
                </c:pt>
                <c:pt idx="5">
                  <c:v>2.7225658480000003</c:v>
                </c:pt>
                <c:pt idx="6">
                  <c:v>6.0280071220000018</c:v>
                </c:pt>
                <c:pt idx="7">
                  <c:v>1.9323946440000002</c:v>
                </c:pt>
                <c:pt idx="8">
                  <c:v>1.8734096560000002</c:v>
                </c:pt>
              </c:numCache>
            </c:numRef>
          </c:val>
          <c:extLst>
            <c:ext xmlns:c16="http://schemas.microsoft.com/office/drawing/2014/chart" uri="{C3380CC4-5D6E-409C-BE32-E72D297353CC}">
              <c16:uniqueId val="{00000005-71D7-4694-891E-B5A2E79D2AA9}"/>
            </c:ext>
          </c:extLst>
        </c:ser>
        <c:dLbls>
          <c:showLegendKey val="0"/>
          <c:showVal val="0"/>
          <c:showCatName val="0"/>
          <c:showSerName val="0"/>
          <c:showPercent val="0"/>
          <c:showBubbleSize val="0"/>
        </c:dLbls>
        <c:gapWidth val="199"/>
        <c:axId val="604048248"/>
        <c:axId val="599117744"/>
      </c:barChart>
      <c:catAx>
        <c:axId val="60404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599117744"/>
        <c:crosses val="autoZero"/>
        <c:auto val="1"/>
        <c:lblAlgn val="ctr"/>
        <c:lblOffset val="100"/>
        <c:noMultiLvlLbl val="0"/>
      </c:catAx>
      <c:valAx>
        <c:axId val="59911774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1050" b="1" i="0" cap="all" baseline="0">
                    <a:effectLst/>
                  </a:rPr>
                  <a:t>MMT CO2e</a:t>
                </a:r>
                <a:endParaRPr lang="en-US" sz="400">
                  <a:effectLst/>
                </a:endParaRP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0482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Bay</a:t>
            </a:r>
            <a:r>
              <a:rPr lang="en-US" baseline="0"/>
              <a:t> Area GHG Emissions</a:t>
            </a:r>
            <a:endParaRPr lang="en-US"/>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 for charts'!$K$106</c:f>
              <c:strCache>
                <c:ptCount val="1"/>
                <c:pt idx="0">
                  <c:v>Transportation</c:v>
                </c:pt>
              </c:strCache>
            </c:strRef>
          </c:tx>
          <c:spPr>
            <a:solidFill>
              <a:srgbClr val="009A4C"/>
            </a:solidFill>
            <a:ln>
              <a:noFill/>
            </a:ln>
            <a:effectLst/>
          </c:spPr>
          <c:invertIfNegative val="0"/>
          <c:cat>
            <c:numRef>
              <c:f>'data for charts'!$J$107:$J$128</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'data for charts'!$K$107:$K$128</c:f>
              <c:numCache>
                <c:formatCode>0</c:formatCode>
                <c:ptCount val="22"/>
                <c:pt idx="0">
                  <c:v>19.918987306000002</c:v>
                </c:pt>
                <c:pt idx="1">
                  <c:v>22.975760822000002</c:v>
                </c:pt>
                <c:pt idx="2">
                  <c:v>23.794937689000001</c:v>
                </c:pt>
                <c:pt idx="3">
                  <c:v>23.647431339000001</c:v>
                </c:pt>
                <c:pt idx="4">
                  <c:v>22.5177713</c:v>
                </c:pt>
                <c:pt idx="5">
                  <c:v>23.618371496000005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F615-4464-BF5A-303A25EDBD1F}"/>
            </c:ext>
          </c:extLst>
        </c:ser>
        <c:ser>
          <c:idx val="1"/>
          <c:order val="1"/>
          <c:tx>
            <c:strRef>
              <c:f>'data for charts'!$L$106</c:f>
              <c:strCache>
                <c:ptCount val="1"/>
                <c:pt idx="0">
                  <c:v>Electricity</c:v>
                </c:pt>
              </c:strCache>
            </c:strRef>
          </c:tx>
          <c:spPr>
            <a:solidFill>
              <a:srgbClr val="11B5E9"/>
            </a:solidFill>
            <a:ln>
              <a:noFill/>
            </a:ln>
            <a:effectLst/>
          </c:spPr>
          <c:invertIfNegative val="0"/>
          <c:cat>
            <c:numRef>
              <c:f>'data for charts'!$J$107:$J$128</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'data for charts'!$L$107:$L$128</c:f>
              <c:numCache>
                <c:formatCode>0</c:formatCode>
                <c:ptCount val="22"/>
                <c:pt idx="0">
                  <c:v>13.524903320960291</c:v>
                </c:pt>
                <c:pt idx="1">
                  <c:v>12.80772548797254</c:v>
                </c:pt>
                <c:pt idx="2">
                  <c:v>11.028445460615993</c:v>
                </c:pt>
                <c:pt idx="3">
                  <c:v>9.3498569865860155</c:v>
                </c:pt>
                <c:pt idx="4">
                  <c:v>8.6435674930700159</c:v>
                </c:pt>
                <c:pt idx="5">
                  <c:v>6.4590665779667065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F615-4464-BF5A-303A25EDBD1F}"/>
            </c:ext>
          </c:extLst>
        </c:ser>
        <c:ser>
          <c:idx val="2"/>
          <c:order val="2"/>
          <c:tx>
            <c:strRef>
              <c:f>'data for charts'!$M$106</c:f>
              <c:strCache>
                <c:ptCount val="1"/>
                <c:pt idx="0">
                  <c:v>Natural Gas</c:v>
                </c:pt>
              </c:strCache>
            </c:strRef>
          </c:tx>
          <c:spPr>
            <a:solidFill>
              <a:srgbClr val="0081C5"/>
            </a:solidFill>
            <a:ln>
              <a:noFill/>
            </a:ln>
            <a:effectLst/>
          </c:spPr>
          <c:invertIfNegative val="0"/>
          <c:cat>
            <c:numRef>
              <c:f>'data for charts'!$J$107:$J$128</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'data for charts'!$M$107:$M$128</c:f>
              <c:numCache>
                <c:formatCode>0</c:formatCode>
                <c:ptCount val="22"/>
                <c:pt idx="0">
                  <c:v>14.351238780600001</c:v>
                </c:pt>
                <c:pt idx="1">
                  <c:v>14.242810352399999</c:v>
                </c:pt>
                <c:pt idx="2">
                  <c:v>14.8871248758</c:v>
                </c:pt>
                <c:pt idx="3">
                  <c:v>15.0206867626</c:v>
                </c:pt>
                <c:pt idx="4">
                  <c:v>15.0529297684</c:v>
                </c:pt>
                <c:pt idx="5">
                  <c:v>15.634717907500001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F615-4464-BF5A-303A25EDBD1F}"/>
            </c:ext>
          </c:extLst>
        </c:ser>
        <c:ser>
          <c:idx val="3"/>
          <c:order val="3"/>
          <c:tx>
            <c:strRef>
              <c:f>'data for charts'!$N$106</c:f>
              <c:strCache>
                <c:ptCount val="1"/>
                <c:pt idx="0">
                  <c:v>Waste</c:v>
                </c:pt>
              </c:strCache>
            </c:strRef>
          </c:tx>
          <c:spPr>
            <a:solidFill>
              <a:srgbClr val="FDB515"/>
            </a:solidFill>
            <a:ln>
              <a:noFill/>
            </a:ln>
            <a:effectLst/>
          </c:spPr>
          <c:invertIfNegative val="0"/>
          <c:cat>
            <c:numRef>
              <c:f>'data for charts'!$J$107:$J$128</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'data for charts'!$N$107:$N$128</c:f>
              <c:numCache>
                <c:formatCode>0</c:formatCode>
                <c:ptCount val="22"/>
                <c:pt idx="0">
                  <c:v>1.2175315031999998</c:v>
                </c:pt>
                <c:pt idx="1">
                  <c:v>1.2987839471999998</c:v>
                </c:pt>
                <c:pt idx="2">
                  <c:v>1.3751958311999999</c:v>
                </c:pt>
                <c:pt idx="3">
                  <c:v>1.6173561839999999</c:v>
                </c:pt>
                <c:pt idx="4">
                  <c:v>1.7375209727999998</c:v>
                </c:pt>
                <c:pt idx="5">
                  <c:v>1.53137496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F615-4464-BF5A-303A25EDBD1F}"/>
            </c:ext>
          </c:extLst>
        </c:ser>
        <c:dLbls>
          <c:showLegendKey val="0"/>
          <c:showVal val="0"/>
          <c:showCatName val="0"/>
          <c:showSerName val="0"/>
          <c:showPercent val="0"/>
          <c:showBubbleSize val="0"/>
        </c:dLbls>
        <c:gapWidth val="50"/>
        <c:overlap val="100"/>
        <c:axId val="577664080"/>
        <c:axId val="577664408"/>
      </c:barChart>
      <c:catAx>
        <c:axId val="57766408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4408"/>
        <c:crosses val="autoZero"/>
        <c:auto val="1"/>
        <c:lblAlgn val="ctr"/>
        <c:lblOffset val="100"/>
        <c:tickLblSkip val="4"/>
        <c:noMultiLvlLbl val="0"/>
      </c:catAx>
      <c:valAx>
        <c:axId val="57766440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1050" b="1"/>
                  <a:t>MMT CO2E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7766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107950</xdr:colOff>
      <xdr:row>0</xdr:row>
      <xdr:rowOff>63500</xdr:rowOff>
    </xdr:from>
    <xdr:to>
      <xdr:col>14</xdr:col>
      <xdr:colOff>304800</xdr:colOff>
      <xdr:row>20</xdr:row>
      <xdr:rowOff>152400</xdr:rowOff>
    </xdr:to>
    <xdr:sp macro="" textlink="">
      <xdr:nvSpPr>
        <xdr:cNvPr id="2" name="TextBox 1">
          <a:extLst>
            <a:ext uri="{FF2B5EF4-FFF2-40B4-BE49-F238E27FC236}">
              <a16:creationId xmlns:a16="http://schemas.microsoft.com/office/drawing/2014/main" id="{CAC672E8-375C-4DA1-B5D8-9261498C4572}"/>
            </a:ext>
          </a:extLst>
        </xdr:cNvPr>
        <xdr:cNvSpPr txBox="1"/>
      </xdr:nvSpPr>
      <xdr:spPr>
        <a:xfrm>
          <a:off x="2089150" y="63500"/>
          <a:ext cx="7461250" cy="402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INTRODUCTION	</a:t>
          </a:r>
        </a:p>
        <a:p>
          <a:endParaRPr lang="en-US">
            <a:effectLst/>
          </a:endParaRPr>
        </a:p>
        <a:p>
          <a:r>
            <a:rPr lang="en-US" sz="1100">
              <a:solidFill>
                <a:schemeClr val="dk1"/>
              </a:solidFill>
              <a:effectLst/>
              <a:latin typeface="+mn-lt"/>
              <a:ea typeface="+mn-ea"/>
              <a:cs typeface="+mn-cs"/>
            </a:rPr>
            <a:t>Bay Area Greenhouse Gas Emissions Trends Data -- 2021</a:t>
          </a:r>
          <a:endParaRPr lang="en-US">
            <a:effectLst/>
          </a:endParaRPr>
        </a:p>
        <a:p>
          <a:r>
            <a:rPr lang="en-US" sz="1100">
              <a:solidFill>
                <a:schemeClr val="dk1"/>
              </a:solidFill>
              <a:effectLst/>
              <a:latin typeface="+mn-lt"/>
              <a:ea typeface="+mn-ea"/>
              <a:cs typeface="+mn-cs"/>
            </a:rPr>
            <a:t>The Climate</a:t>
          </a:r>
          <a:r>
            <a:rPr lang="en-US" sz="1100" baseline="0">
              <a:solidFill>
                <a:schemeClr val="dk1"/>
              </a:solidFill>
              <a:effectLst/>
              <a:latin typeface="+mn-lt"/>
              <a:ea typeface="+mn-ea"/>
              <a:cs typeface="+mn-cs"/>
            </a:rPr>
            <a:t> Center: theclimatecenter.org</a:t>
          </a:r>
        </a:p>
        <a:p>
          <a:endParaRPr lang="en-US">
            <a:effectLst/>
          </a:endParaRPr>
        </a:p>
        <a:p>
          <a:r>
            <a:rPr lang="en-US" sz="1100" baseline="0">
              <a:solidFill>
                <a:schemeClr val="dk1"/>
              </a:solidFill>
              <a:effectLst/>
              <a:latin typeface="+mn-lt"/>
              <a:ea typeface="+mn-ea"/>
              <a:cs typeface="+mn-cs"/>
            </a:rPr>
            <a:t>On the following tabs are the data The Climate Center used to calculate greenhouse gas (GHG) emissions trends in four key sectors in the nine Bay Area counties. A more detailed explanation of the methodology used to calculate GHG trends can be found in the 2021 Bay Area GHG Emissions Trends report on The Climate Center's website.</a:t>
          </a:r>
        </a:p>
        <a:p>
          <a:endParaRPr lang="en-US">
            <a:effectLst/>
          </a:endParaRPr>
        </a:p>
        <a:p>
          <a:r>
            <a:rPr lang="en-US" sz="1100" baseline="0">
              <a:solidFill>
                <a:schemeClr val="dk1"/>
              </a:solidFill>
              <a:effectLst/>
              <a:latin typeface="+mn-lt"/>
              <a:ea typeface="+mn-ea"/>
              <a:cs typeface="+mn-cs"/>
            </a:rPr>
            <a:t>Each tab contains the data used for calculations. Each tab has footnotes which link to data sources. For some footnotes, instructions and additional explanation are provided. </a:t>
          </a:r>
        </a:p>
        <a:p>
          <a:endParaRPr lang="en-US">
            <a:effectLst/>
          </a:endParaRPr>
        </a:p>
        <a:p>
          <a:r>
            <a:rPr lang="en-US" sz="1100" baseline="0">
              <a:solidFill>
                <a:schemeClr val="dk1"/>
              </a:solidFill>
              <a:effectLst/>
              <a:latin typeface="+mn-lt"/>
              <a:ea typeface="+mn-ea"/>
              <a:cs typeface="+mn-cs"/>
            </a:rPr>
            <a:t>The tabs correspond to the complexity of calculating emissions from each sector. The simplest ones -- natural gas and solid waste -- are straightforward enough to input data directly into the "total" tab. They don't have their own separate tabs. Electricity, on the other, required a number of conversions, background calculations, and inputs, and as such has two tabs. This helped keep data organized as we worked towards the final electricity emissions numbers.</a:t>
          </a:r>
        </a:p>
        <a:p>
          <a:endParaRPr lang="en-US">
            <a:effectLst/>
          </a:endParaRPr>
        </a:p>
        <a:p>
          <a:r>
            <a:rPr lang="en-US" sz="1100" baseline="0">
              <a:solidFill>
                <a:schemeClr val="dk1"/>
              </a:solidFill>
              <a:effectLst/>
              <a:latin typeface="+mn-lt"/>
              <a:ea typeface="+mn-ea"/>
              <a:cs typeface="+mn-cs"/>
            </a:rPr>
            <a:t>The last tab, "data for charts," provides a summary of data that we used to produce graphics for the Trends report.</a:t>
          </a:r>
          <a:endParaRPr lang="en-US">
            <a:effectLst/>
          </a:endParaRPr>
        </a:p>
        <a:p>
          <a:r>
            <a:rPr lang="en-US" sz="1100" baseline="0">
              <a:solidFill>
                <a:schemeClr val="dk1"/>
              </a:solidFill>
              <a:effectLst/>
              <a:latin typeface="+mn-lt"/>
              <a:ea typeface="+mn-ea"/>
              <a:cs typeface="+mn-cs"/>
            </a:rPr>
            <a:t>Analysis, discussion, and the methodology used in this project are included in Trends report. Please find the report https://theclimatecenter.org/san-francisco-bay-area-greenhouse-gas-emission-trends-for-2014-2019/.</a:t>
          </a:r>
        </a:p>
        <a:p>
          <a:endParaRPr lang="en-US">
            <a:effectLst/>
          </a:endParaRPr>
        </a:p>
        <a:p>
          <a:r>
            <a:rPr lang="en-US" sz="1100" baseline="0">
              <a:solidFill>
                <a:schemeClr val="dk1"/>
              </a:solidFill>
              <a:effectLst/>
              <a:latin typeface="+mn-lt"/>
              <a:ea typeface="+mn-ea"/>
              <a:cs typeface="+mn-cs"/>
            </a:rPr>
            <a:t>Any questions about this spreadsheet or the report can be sent to trends@theclimatecenter.org. </a:t>
          </a:r>
          <a:endParaRPr lang="en-US">
            <a:effectLst/>
          </a:endParaRPr>
        </a:p>
      </xdr:txBody>
    </xdr:sp>
    <xdr:clientData/>
  </xdr:twoCellAnchor>
  <xdr:twoCellAnchor editAs="oneCell">
    <xdr:from>
      <xdr:col>0</xdr:col>
      <xdr:colOff>0</xdr:colOff>
      <xdr:row>0</xdr:row>
      <xdr:rowOff>0</xdr:rowOff>
    </xdr:from>
    <xdr:to>
      <xdr:col>3</xdr:col>
      <xdr:colOff>82550</xdr:colOff>
      <xdr:row>10</xdr:row>
      <xdr:rowOff>95250</xdr:rowOff>
    </xdr:to>
    <xdr:pic>
      <xdr:nvPicPr>
        <xdr:cNvPr id="4" name="Picture 3">
          <a:extLst>
            <a:ext uri="{FF2B5EF4-FFF2-40B4-BE49-F238E27FC236}">
              <a16:creationId xmlns:a16="http://schemas.microsoft.com/office/drawing/2014/main" id="{8AD5186C-5EF3-47DD-B694-2CC68090B0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63750" cy="2063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26</xdr:col>
      <xdr:colOff>247650</xdr:colOff>
      <xdr:row>7</xdr:row>
      <xdr:rowOff>171450</xdr:rowOff>
    </xdr:from>
    <xdr:ext cx="4457700" cy="2643737"/>
    <xdr:sp macro="" textlink="">
      <xdr:nvSpPr>
        <xdr:cNvPr id="2" name="TextBox 1">
          <a:extLst>
            <a:ext uri="{FF2B5EF4-FFF2-40B4-BE49-F238E27FC236}">
              <a16:creationId xmlns:a16="http://schemas.microsoft.com/office/drawing/2014/main" id="{9DB4758B-E73E-46DC-9C02-5BD0994071E6}"/>
            </a:ext>
          </a:extLst>
        </xdr:cNvPr>
        <xdr:cNvSpPr txBox="1"/>
      </xdr:nvSpPr>
      <xdr:spPr>
        <a:xfrm>
          <a:off x="21431250" y="1549400"/>
          <a:ext cx="4457700" cy="2643737"/>
        </a:xfrm>
        <a:prstGeom prst="rect">
          <a:avLst/>
        </a:prstGeom>
        <a:solidFill>
          <a:sysClr val="window" lastClr="FFFFFF"/>
        </a:solidFill>
        <a:ln w="31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00"/>
            <a:t>*</a:t>
          </a:r>
          <a:r>
            <a:rPr lang="en-US" sz="1000" b="0" i="0">
              <a:solidFill>
                <a:schemeClr val="tx1"/>
              </a:solidFill>
              <a:effectLst/>
              <a:latin typeface="+mn-lt"/>
              <a:ea typeface="+mn-ea"/>
              <a:cs typeface="+mn-cs"/>
            </a:rPr>
            <a:t>The accuracy of these GHG emissions is impacted by underlying issues relating to the accounting protocols used. PG&amp;E purchased massive amounts of excess energy in 2019 including natural gas. But it reported none of the natural gas power it delivered to the grid because California Energy Commission rules require that electric providers such as PG&amp;E report only 100% of the energy it buys to serve the load (not the excess power purchased), and that RPS (Renewable Portfolio Standard) eligible renewable energy, hydro and nuclear be reported first before natural gas or coal. Additionally, PG&amp;E (like most load-serving entities) reports its geothermal and biomass sources as having zero GHGs rather than reporting their actual emissions. This discrepancy may lead to an underestimation of the carbon intensity of PG&amp;E's electricity and an overestimation of the climate progress in the electricity sector in the Bay Area. With the passage of AB 1110, new GHG reporting protocols will soon rectify some of the issues regarding the accuracy of GHG emission accounting for electricity. The data used for this report are from the Power Source Disclosure Report available from the California Energy Commission as the best available data. </a:t>
          </a:r>
          <a:endParaRPr lang="en-US" sz="10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xdr:col>
      <xdr:colOff>438150</xdr:colOff>
      <xdr:row>88</xdr:row>
      <xdr:rowOff>114300</xdr:rowOff>
    </xdr:from>
    <xdr:to>
      <xdr:col>12</xdr:col>
      <xdr:colOff>533400</xdr:colOff>
      <xdr:row>102</xdr:row>
      <xdr:rowOff>101600</xdr:rowOff>
    </xdr:to>
    <xdr:graphicFrame macro="">
      <xdr:nvGraphicFramePr>
        <xdr:cNvPr id="3" name="Chart 2">
          <a:extLst>
            <a:ext uri="{FF2B5EF4-FFF2-40B4-BE49-F238E27FC236}">
              <a16:creationId xmlns:a16="http://schemas.microsoft.com/office/drawing/2014/main" id="{0918443F-947C-421C-8E33-851AA63AD5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546100</xdr:colOff>
      <xdr:row>113</xdr:row>
      <xdr:rowOff>38100</xdr:rowOff>
    </xdr:from>
    <xdr:to>
      <xdr:col>12</xdr:col>
      <xdr:colOff>12700</xdr:colOff>
      <xdr:row>131</xdr:row>
      <xdr:rowOff>120650</xdr:rowOff>
    </xdr:to>
    <xdr:graphicFrame macro="">
      <xdr:nvGraphicFramePr>
        <xdr:cNvPr id="4" name="Chart 3">
          <a:extLst>
            <a:ext uri="{FF2B5EF4-FFF2-40B4-BE49-F238E27FC236}">
              <a16:creationId xmlns:a16="http://schemas.microsoft.com/office/drawing/2014/main" id="{34FBC2B9-3D33-42A2-83B1-C0E651CA9C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FCE86-EAF0-4B88-A92B-EAFD0121FE74}">
  <dimension ref="A1"/>
  <sheetViews>
    <sheetView tabSelected="1" workbookViewId="0">
      <selection activeCell="C14" sqref="C14"/>
    </sheetView>
  </sheetViews>
  <sheetFormatPr defaultRowHeight="15.5"/>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ADE75-A7A9-1149-B174-E8E5C644B59A}">
  <sheetPr>
    <pageSetUpPr fitToPage="1"/>
  </sheetPr>
  <dimension ref="A1:AB89"/>
  <sheetViews>
    <sheetView zoomScaleNormal="100" zoomScalePageLayoutView="110" workbookViewId="0">
      <pane xSplit="2" ySplit="2" topLeftCell="L61" activePane="bottomRight" state="frozen"/>
      <selection pane="topRight" activeCell="C1" sqref="C1"/>
      <selection pane="bottomLeft" activeCell="A3" sqref="A3"/>
      <selection pane="bottomRight" activeCell="O73" sqref="O73"/>
    </sheetView>
  </sheetViews>
  <sheetFormatPr defaultColWidth="10.58203125" defaultRowHeight="15.5"/>
  <cols>
    <col min="1" max="1" width="12.58203125" customWidth="1"/>
    <col min="2" max="2" width="8.5" customWidth="1"/>
    <col min="3" max="3" width="13.5" customWidth="1"/>
    <col min="4" max="4" width="17.5" customWidth="1"/>
    <col min="5" max="5" width="9.58203125" customWidth="1"/>
    <col min="6" max="6" width="2" customWidth="1"/>
    <col min="7" max="11" width="13.5" customWidth="1"/>
    <col min="12" max="12" width="9" style="8" customWidth="1"/>
    <col min="13" max="13" width="2.08203125" customWidth="1"/>
    <col min="14" max="14" width="14.08203125" style="3" customWidth="1"/>
    <col min="15" max="15" width="11.08203125" customWidth="1"/>
    <col min="16" max="16" width="9.5" customWidth="1"/>
    <col min="17" max="17" width="1.83203125" customWidth="1"/>
    <col min="18" max="18" width="10.83203125" style="3"/>
    <col min="19" max="19" width="12.08203125" customWidth="1"/>
    <col min="20" max="20" width="9.58203125" customWidth="1"/>
    <col min="21" max="21" width="2.58203125" customWidth="1"/>
    <col min="22" max="22" width="14.83203125" style="10" customWidth="1"/>
    <col min="23" max="23" width="2.33203125" customWidth="1"/>
    <col min="24" max="24" width="12.33203125" style="8" bestFit="1" customWidth="1"/>
    <col min="25" max="25" width="2.58203125" customWidth="1"/>
    <col min="27" max="27" width="2.5" customWidth="1"/>
  </cols>
  <sheetData>
    <row r="1" spans="1:28" s="13" customFormat="1">
      <c r="A1" s="13" t="s">
        <v>14</v>
      </c>
      <c r="B1" s="13" t="s">
        <v>1</v>
      </c>
      <c r="C1" s="14" t="s">
        <v>13</v>
      </c>
      <c r="D1" s="14"/>
      <c r="G1" s="14" t="s">
        <v>2</v>
      </c>
      <c r="H1" s="14" t="s">
        <v>109</v>
      </c>
      <c r="I1" s="14" t="s">
        <v>86</v>
      </c>
      <c r="J1" s="14" t="s">
        <v>17</v>
      </c>
      <c r="K1" s="14" t="s">
        <v>111</v>
      </c>
      <c r="L1" s="17"/>
      <c r="N1" s="14" t="s">
        <v>3</v>
      </c>
      <c r="O1" s="14"/>
      <c r="P1" s="14"/>
      <c r="Q1" s="14"/>
      <c r="R1" s="14" t="s">
        <v>4</v>
      </c>
      <c r="S1" s="14"/>
      <c r="V1" s="18" t="s">
        <v>35</v>
      </c>
      <c r="X1" s="17" t="s">
        <v>35</v>
      </c>
      <c r="Z1" s="13" t="s">
        <v>180</v>
      </c>
      <c r="AB1" s="13" t="s">
        <v>181</v>
      </c>
    </row>
    <row r="2" spans="1:28">
      <c r="A2" t="s">
        <v>0</v>
      </c>
      <c r="C2" s="4" t="s">
        <v>29</v>
      </c>
      <c r="D2" s="4" t="s">
        <v>25</v>
      </c>
      <c r="E2" s="4" t="s">
        <v>15</v>
      </c>
      <c r="F2" s="4"/>
      <c r="G2" s="4" t="s">
        <v>33</v>
      </c>
      <c r="H2" s="4" t="s">
        <v>90</v>
      </c>
      <c r="I2" s="4" t="s">
        <v>90</v>
      </c>
      <c r="J2" s="4" t="s">
        <v>90</v>
      </c>
      <c r="K2" s="4" t="s">
        <v>90</v>
      </c>
      <c r="L2" s="9" t="s">
        <v>15</v>
      </c>
      <c r="M2" s="4"/>
      <c r="N2" s="4" t="s">
        <v>114</v>
      </c>
      <c r="O2" s="4" t="s">
        <v>30</v>
      </c>
      <c r="P2" s="4" t="s">
        <v>15</v>
      </c>
      <c r="Q2" s="4"/>
      <c r="R2" s="4" t="s">
        <v>112</v>
      </c>
      <c r="S2" s="4" t="s">
        <v>34</v>
      </c>
      <c r="T2" s="4" t="s">
        <v>15</v>
      </c>
      <c r="U2" s="4"/>
      <c r="V2" s="19" t="s">
        <v>108</v>
      </c>
      <c r="X2" s="9" t="s">
        <v>110</v>
      </c>
      <c r="Z2" t="s">
        <v>181</v>
      </c>
      <c r="AB2" s="1" t="s">
        <v>183</v>
      </c>
    </row>
    <row r="3" spans="1:28">
      <c r="A3">
        <v>1608674</v>
      </c>
      <c r="B3">
        <v>2014</v>
      </c>
      <c r="C3" s="3">
        <v>41337.434302000001</v>
      </c>
      <c r="D3" s="5">
        <f>transportation!S3</f>
        <v>4153614.7810000004</v>
      </c>
      <c r="E3" s="8">
        <f>D3/A3</f>
        <v>2.582011508235976</v>
      </c>
      <c r="F3" s="8"/>
      <c r="G3" s="3">
        <f>electricity!D3</f>
        <v>10299</v>
      </c>
      <c r="H3" s="3">
        <f>electricity!M3</f>
        <v>484242.83538638422</v>
      </c>
      <c r="I3" s="3">
        <f>electricity!N3</f>
        <v>1808900.6192308636</v>
      </c>
      <c r="J3" s="3">
        <f>electricity!L3</f>
        <v>0</v>
      </c>
      <c r="K3" s="3">
        <f t="shared" ref="K3:K7" si="0">J3+I3+H3</f>
        <v>2293143.4546172479</v>
      </c>
      <c r="L3" s="8">
        <f t="shared" ref="L3:L8" si="1">K3/A3</f>
        <v>1.4254867391511568</v>
      </c>
      <c r="M3" s="3"/>
      <c r="N3" s="3">
        <v>362604845</v>
      </c>
      <c r="O3" s="3">
        <f t="shared" ref="O3:O8" si="2">N3*0.0053</f>
        <v>1921805.6784999999</v>
      </c>
      <c r="P3" s="10">
        <f t="shared" ref="P3:P8" si="3">O3/A3</f>
        <v>1.1946520416815338</v>
      </c>
      <c r="Q3" s="10"/>
      <c r="R3" s="3">
        <v>1106585.54</v>
      </c>
      <c r="S3" s="11">
        <f t="shared" ref="S3:S8" si="4">R3*0.24</f>
        <v>265580.52960000001</v>
      </c>
      <c r="T3" s="8">
        <f t="shared" ref="T3:T8" si="5">S3/A3</f>
        <v>0.16509282154121968</v>
      </c>
      <c r="U3" s="8"/>
      <c r="V3" s="10">
        <f t="shared" ref="V3:V8" si="6">(D3+K3+O3+S3)/1000000</f>
        <v>8.6341444437172488</v>
      </c>
      <c r="X3" s="8">
        <f t="shared" ref="X3:X8" si="7">(V3/A3)*1000000</f>
        <v>5.3672431106098868</v>
      </c>
    </row>
    <row r="4" spans="1:28">
      <c r="A4">
        <v>1634634</v>
      </c>
      <c r="B4">
        <v>2015</v>
      </c>
      <c r="C4" s="3">
        <v>41698.618000000002</v>
      </c>
      <c r="D4" s="5">
        <f>transportation!S4</f>
        <v>4772886.6320000002</v>
      </c>
      <c r="E4" s="8">
        <f t="shared" ref="E4:E15" si="8">D4/A4</f>
        <v>2.9198503346926592</v>
      </c>
      <c r="F4" s="8"/>
      <c r="G4" s="3">
        <f>electricity!D4</f>
        <v>10235</v>
      </c>
      <c r="H4" s="3">
        <f>electricity!M4</f>
        <v>480480.41616276279</v>
      </c>
      <c r="I4" s="3">
        <f>electricity!N4</f>
        <v>1674006.5286750484</v>
      </c>
      <c r="J4" s="3">
        <f>electricity!L4</f>
        <v>0</v>
      </c>
      <c r="K4" s="3">
        <f t="shared" si="0"/>
        <v>2154486.9448378114</v>
      </c>
      <c r="L4" s="8">
        <f t="shared" si="1"/>
        <v>1.3180240621679296</v>
      </c>
      <c r="M4" s="3"/>
      <c r="N4" s="3">
        <v>358443410</v>
      </c>
      <c r="O4" s="3">
        <f t="shared" si="2"/>
        <v>1899750.0730000001</v>
      </c>
      <c r="P4" s="10">
        <f t="shared" si="3"/>
        <v>1.1621868094019825</v>
      </c>
      <c r="Q4" s="10"/>
      <c r="R4" s="3">
        <v>1130785.92</v>
      </c>
      <c r="S4" s="11">
        <f t="shared" si="4"/>
        <v>271388.62079999998</v>
      </c>
      <c r="T4" s="8">
        <f t="shared" si="5"/>
        <v>0.16602408906213867</v>
      </c>
      <c r="U4" s="8"/>
      <c r="V4" s="10">
        <f t="shared" si="6"/>
        <v>9.0985122706378121</v>
      </c>
      <c r="X4" s="8">
        <f t="shared" si="7"/>
        <v>5.5660852953247097</v>
      </c>
      <c r="Z4" s="35">
        <f>(V4-V3)/V3</f>
        <v>5.3782726238552431E-2</v>
      </c>
      <c r="AA4" s="10"/>
    </row>
    <row r="5" spans="1:28">
      <c r="A5">
        <v>1650306</v>
      </c>
      <c r="B5">
        <v>2016</v>
      </c>
      <c r="C5" s="3">
        <v>42081.928999999996</v>
      </c>
      <c r="D5" s="5">
        <f>transportation!S5</f>
        <v>5133491.7539999997</v>
      </c>
      <c r="E5" s="8">
        <f t="shared" si="8"/>
        <v>3.1106302431185489</v>
      </c>
      <c r="F5" s="8"/>
      <c r="G5" s="3">
        <f>electricity!D5</f>
        <v>10791</v>
      </c>
      <c r="H5" s="3">
        <f>electricity!M5</f>
        <v>759042.36554930836</v>
      </c>
      <c r="I5" s="3">
        <f>electricity!N5</f>
        <v>1202556.3546913627</v>
      </c>
      <c r="J5" s="3">
        <f>electricity!L5</f>
        <v>0</v>
      </c>
      <c r="K5" s="3">
        <f t="shared" si="0"/>
        <v>1961598.7202406712</v>
      </c>
      <c r="L5" s="8">
        <f t="shared" si="1"/>
        <v>1.1886272729061587</v>
      </c>
      <c r="M5" s="3"/>
      <c r="N5" s="3">
        <v>361870956</v>
      </c>
      <c r="O5" s="3">
        <f t="shared" si="2"/>
        <v>1917916.0667999999</v>
      </c>
      <c r="P5" s="10">
        <f t="shared" si="3"/>
        <v>1.162157846363038</v>
      </c>
      <c r="Q5" s="10"/>
      <c r="R5" s="3">
        <v>1188438.8899999999</v>
      </c>
      <c r="S5" s="11">
        <f t="shared" si="4"/>
        <v>285225.33359999995</v>
      </c>
      <c r="T5" s="8">
        <f t="shared" si="5"/>
        <v>0.17283178610512229</v>
      </c>
      <c r="U5" s="8"/>
      <c r="V5" s="10">
        <f t="shared" si="6"/>
        <v>9.2982318746406705</v>
      </c>
      <c r="X5" s="8">
        <f t="shared" si="7"/>
        <v>5.634247148492868</v>
      </c>
      <c r="Z5" s="35">
        <f t="shared" ref="Z5:Z8" si="9">(V5-V4)/V4</f>
        <v>2.1950797895539671E-2</v>
      </c>
      <c r="AA5" s="34"/>
    </row>
    <row r="6" spans="1:28">
      <c r="A6">
        <v>1658131</v>
      </c>
      <c r="B6">
        <v>2017</v>
      </c>
      <c r="C6" s="3">
        <v>41889.631999999998</v>
      </c>
      <c r="D6" s="5">
        <f>transportation!S6</f>
        <v>5162978.7410000004</v>
      </c>
      <c r="E6" s="8">
        <f t="shared" si="8"/>
        <v>3.1137339215055988</v>
      </c>
      <c r="F6" s="8"/>
      <c r="G6" s="3">
        <f>electricity!D6</f>
        <v>11079</v>
      </c>
      <c r="H6" s="3">
        <f>electricity!M6</f>
        <v>903181.5075594259</v>
      </c>
      <c r="I6" s="3">
        <f>electricity!N6</f>
        <v>854322.86804366624</v>
      </c>
      <c r="J6" s="3">
        <f>electricity!L6</f>
        <v>0</v>
      </c>
      <c r="K6" s="3">
        <f t="shared" si="0"/>
        <v>1757504.3756030921</v>
      </c>
      <c r="L6" s="8">
        <f t="shared" si="1"/>
        <v>1.0599309557586778</v>
      </c>
      <c r="M6" s="3"/>
      <c r="N6" s="3">
        <v>379027272</v>
      </c>
      <c r="O6" s="3">
        <f t="shared" si="2"/>
        <v>2008844.5416000001</v>
      </c>
      <c r="P6" s="10">
        <f t="shared" si="3"/>
        <v>1.2115113592351872</v>
      </c>
      <c r="Q6" s="10"/>
      <c r="R6" s="3">
        <v>1381330.35</v>
      </c>
      <c r="S6" s="11">
        <f t="shared" si="4"/>
        <v>331519.28399999999</v>
      </c>
      <c r="T6" s="8">
        <f t="shared" si="5"/>
        <v>0.19993552017301405</v>
      </c>
      <c r="U6" s="8"/>
      <c r="V6" s="10">
        <f t="shared" si="6"/>
        <v>9.2608469422030915</v>
      </c>
      <c r="X6" s="8">
        <f t="shared" si="7"/>
        <v>5.5851117566724771</v>
      </c>
      <c r="Z6" s="35">
        <f t="shared" si="9"/>
        <v>-4.0206496182935581E-3</v>
      </c>
    </row>
    <row r="7" spans="1:28">
      <c r="A7">
        <v>1666753</v>
      </c>
      <c r="B7">
        <v>2018</v>
      </c>
      <c r="C7" s="3">
        <f>transportation!C7</f>
        <v>42261.16</v>
      </c>
      <c r="D7" s="5">
        <f>transportation!S7</f>
        <v>5065428.1000000015</v>
      </c>
      <c r="E7" s="8">
        <f t="shared" si="8"/>
        <v>3.0390994346492861</v>
      </c>
      <c r="F7" s="8"/>
      <c r="G7" s="3">
        <f>electricity!D7</f>
        <v>10391</v>
      </c>
      <c r="H7" s="3">
        <f>electricity!M7</f>
        <v>737083.76487939688</v>
      </c>
      <c r="I7" s="3">
        <f>electricity!N7</f>
        <v>596327.45359410392</v>
      </c>
      <c r="J7" s="3">
        <f>electricity!L7</f>
        <v>85707.288215549313</v>
      </c>
      <c r="K7" s="3">
        <f t="shared" si="0"/>
        <v>1419118.5066890502</v>
      </c>
      <c r="L7" s="8">
        <f t="shared" si="1"/>
        <v>0.85142700009482519</v>
      </c>
      <c r="M7" s="35"/>
      <c r="N7" s="3">
        <v>377001752</v>
      </c>
      <c r="O7" s="3">
        <f t="shared" si="2"/>
        <v>1998109.2856000001</v>
      </c>
      <c r="P7" s="10">
        <f t="shared" si="3"/>
        <v>1.198803473340081</v>
      </c>
      <c r="Q7" s="10"/>
      <c r="R7" s="3">
        <v>1342490.34</v>
      </c>
      <c r="S7" s="11">
        <f t="shared" si="4"/>
        <v>322197.68160000001</v>
      </c>
      <c r="T7" s="8">
        <f t="shared" si="5"/>
        <v>0.19330859557474925</v>
      </c>
      <c r="U7" s="8"/>
      <c r="V7" s="10">
        <f t="shared" si="6"/>
        <v>8.8048535738890532</v>
      </c>
      <c r="X7" s="8">
        <f t="shared" si="7"/>
        <v>5.2826385036589425</v>
      </c>
      <c r="Z7" s="35">
        <f t="shared" si="9"/>
        <v>-4.9238840805802216E-2</v>
      </c>
    </row>
    <row r="8" spans="1:28">
      <c r="A8">
        <v>1671329</v>
      </c>
      <c r="B8">
        <v>2019</v>
      </c>
      <c r="C8" s="3">
        <f>transportation!C8</f>
        <v>38611</v>
      </c>
      <c r="D8" s="5">
        <f>transportation!S8</f>
        <v>5146786.6340000015</v>
      </c>
      <c r="E8" s="8">
        <f t="shared" si="8"/>
        <v>3.0794575059727927</v>
      </c>
      <c r="F8" s="8"/>
      <c r="G8" s="3">
        <f>electricity!D8</f>
        <v>10684</v>
      </c>
      <c r="H8" s="3">
        <f>electricity!M8</f>
        <v>884743.54054000031</v>
      </c>
      <c r="I8" s="3">
        <f>electricity!N8</f>
        <v>3803.973321691009</v>
      </c>
      <c r="J8" s="3">
        <f>electricity!L8</f>
        <v>298517.89369953738</v>
      </c>
      <c r="K8" s="3">
        <f>J8+I8+H8</f>
        <v>1187065.4075612286</v>
      </c>
      <c r="L8" s="8">
        <f t="shared" si="1"/>
        <v>0.71025238451629125</v>
      </c>
      <c r="M8" s="35"/>
      <c r="N8" s="3">
        <v>384150529</v>
      </c>
      <c r="O8" s="3">
        <f t="shared" si="2"/>
        <v>2035997.8037</v>
      </c>
      <c r="P8" s="10">
        <f t="shared" si="3"/>
        <v>1.2181909149545063</v>
      </c>
      <c r="Q8" s="10"/>
      <c r="R8" s="3">
        <v>1465264</v>
      </c>
      <c r="S8" s="11">
        <f t="shared" si="4"/>
        <v>351663.35999999999</v>
      </c>
      <c r="T8" s="8">
        <f t="shared" si="5"/>
        <v>0.21040941669772975</v>
      </c>
      <c r="U8" s="8"/>
      <c r="V8" s="10">
        <f t="shared" si="6"/>
        <v>8.7215132052612301</v>
      </c>
      <c r="X8" s="8">
        <f t="shared" si="7"/>
        <v>5.2183102221413193</v>
      </c>
      <c r="Z8" s="35">
        <f t="shared" si="9"/>
        <v>-9.4652759331478771E-3</v>
      </c>
      <c r="AA8" s="35"/>
      <c r="AB8" s="35">
        <f>(V8-V3)/V3</f>
        <v>1.0118983080895337E-2</v>
      </c>
    </row>
    <row r="9" spans="1:28">
      <c r="A9" t="s">
        <v>5</v>
      </c>
      <c r="C9" s="3"/>
      <c r="D9" s="5"/>
      <c r="E9" s="8"/>
      <c r="F9" s="8"/>
      <c r="G9" s="3"/>
      <c r="H9" s="3"/>
      <c r="I9" s="3"/>
      <c r="J9" s="3"/>
      <c r="K9" s="3"/>
      <c r="M9" s="3"/>
      <c r="O9" s="3"/>
      <c r="P9" s="3"/>
      <c r="Q9" s="3"/>
      <c r="S9" s="3"/>
    </row>
    <row r="10" spans="1:28">
      <c r="A10">
        <v>1109358</v>
      </c>
      <c r="B10">
        <v>2014</v>
      </c>
      <c r="C10" s="3">
        <v>22827.634764999999</v>
      </c>
      <c r="D10" s="5">
        <f>transportation!S10</f>
        <v>3272758.7720000003</v>
      </c>
      <c r="E10" s="8">
        <f t="shared" si="8"/>
        <v>2.9501376219398971</v>
      </c>
      <c r="F10" s="8"/>
      <c r="G10" s="3">
        <f>electricity!D10</f>
        <v>9588</v>
      </c>
      <c r="H10" s="3">
        <f>electricity!M10</f>
        <v>1451245.9775214437</v>
      </c>
      <c r="I10" s="3">
        <f>electricity!N10</f>
        <v>1146855.2762775891</v>
      </c>
      <c r="J10" s="3">
        <f>electricity!L10</f>
        <v>56570.391347256969</v>
      </c>
      <c r="K10" s="3">
        <f t="shared" ref="K10:K14" si="10">J10+I10+H10</f>
        <v>2654671.6451462898</v>
      </c>
      <c r="L10" s="8">
        <f t="shared" ref="L10:L15" si="11">K10/A10</f>
        <v>2.392980124672369</v>
      </c>
      <c r="M10" s="3"/>
      <c r="N10" s="3">
        <v>1099225831</v>
      </c>
      <c r="O10" s="3">
        <f t="shared" ref="O10:O15" si="12">N10*0.0053</f>
        <v>5825896.9042999996</v>
      </c>
      <c r="P10" s="10">
        <f t="shared" ref="P10:P15" si="13">O10/A10</f>
        <v>5.251593177585594</v>
      </c>
      <c r="Q10" s="10"/>
      <c r="R10" s="3">
        <v>686132.71</v>
      </c>
      <c r="S10" s="11">
        <f t="shared" ref="S10:S15" si="14">R10*0.24</f>
        <v>164671.8504</v>
      </c>
      <c r="T10" s="8">
        <f t="shared" ref="T10:T15" si="15">S10/A10</f>
        <v>0.14843887221257701</v>
      </c>
      <c r="U10" s="8"/>
      <c r="V10" s="10">
        <f t="shared" ref="V10:V15" si="16">(D10+K10+O10+S10)/1000000</f>
        <v>11.917999171846288</v>
      </c>
      <c r="X10" s="8">
        <f t="shared" ref="X10:X15" si="17">(V10/A10)*1000000</f>
        <v>10.743149796410435</v>
      </c>
    </row>
    <row r="11" spans="1:28">
      <c r="A11">
        <v>1124606</v>
      </c>
      <c r="B11">
        <v>2015</v>
      </c>
      <c r="C11" s="3">
        <v>23507.311999999991</v>
      </c>
      <c r="D11" s="5">
        <f>transportation!S11</f>
        <v>3251754.9200000004</v>
      </c>
      <c r="E11" s="8">
        <f t="shared" si="8"/>
        <v>2.8914614718399156</v>
      </c>
      <c r="F11" s="8"/>
      <c r="G11" s="3">
        <f>electricity!D11</f>
        <v>9467</v>
      </c>
      <c r="H11" s="3">
        <f>electricity!M11</f>
        <v>1449786.7689875532</v>
      </c>
      <c r="I11" s="3">
        <f>electricity!N11</f>
        <v>1031205.3399158949</v>
      </c>
      <c r="J11" s="3">
        <f>electricity!L11</f>
        <v>68322.283651486447</v>
      </c>
      <c r="K11" s="3">
        <f t="shared" si="10"/>
        <v>2549314.3925549346</v>
      </c>
      <c r="L11" s="8">
        <f t="shared" si="11"/>
        <v>2.2668511394701207</v>
      </c>
      <c r="M11" s="3"/>
      <c r="N11" s="3">
        <v>1087653739</v>
      </c>
      <c r="O11" s="3">
        <f t="shared" si="12"/>
        <v>5764564.8167000003</v>
      </c>
      <c r="P11" s="10">
        <f t="shared" si="13"/>
        <v>5.1258528024036867</v>
      </c>
      <c r="Q11" s="10"/>
      <c r="R11" s="3">
        <v>719149.18</v>
      </c>
      <c r="S11" s="11">
        <f t="shared" si="14"/>
        <v>172595.80319999999</v>
      </c>
      <c r="T11" s="8">
        <f t="shared" si="15"/>
        <v>0.15347224112266875</v>
      </c>
      <c r="U11" s="8"/>
      <c r="V11" s="10">
        <f t="shared" si="16"/>
        <v>11.738229932454937</v>
      </c>
      <c r="X11" s="8">
        <f t="shared" si="17"/>
        <v>10.437637654836394</v>
      </c>
      <c r="Z11" s="35">
        <f t="shared" ref="Z11:Z15" si="18">(V11-V10)/V10</f>
        <v>-1.5083843923736601E-2</v>
      </c>
    </row>
    <row r="12" spans="1:28">
      <c r="A12">
        <v>1137194</v>
      </c>
      <c r="B12">
        <v>2016</v>
      </c>
      <c r="C12" s="3">
        <v>23736.656999999999</v>
      </c>
      <c r="D12" s="5">
        <f>transportation!S12</f>
        <v>3678987.077</v>
      </c>
      <c r="E12" s="8">
        <f t="shared" si="8"/>
        <v>3.2351446428665644</v>
      </c>
      <c r="F12" s="8"/>
      <c r="G12" s="3">
        <f>electricity!D12</f>
        <v>9589</v>
      </c>
      <c r="H12" s="3">
        <f>electricity!M12</f>
        <v>1582156.1729829586</v>
      </c>
      <c r="I12" s="3">
        <f>electricity!N12</f>
        <v>697110.7883809515</v>
      </c>
      <c r="J12" s="3">
        <f>electricity!L12</f>
        <v>84156.980486525033</v>
      </c>
      <c r="K12" s="3">
        <f t="shared" si="10"/>
        <v>2363423.941850435</v>
      </c>
      <c r="L12" s="8">
        <f t="shared" si="11"/>
        <v>2.078294417531604</v>
      </c>
      <c r="M12" s="3"/>
      <c r="N12" s="3">
        <v>1136113579</v>
      </c>
      <c r="O12" s="3">
        <f t="shared" si="12"/>
        <v>6021401.9687000001</v>
      </c>
      <c r="P12" s="10">
        <f t="shared" si="13"/>
        <v>5.2949645959264648</v>
      </c>
      <c r="Q12" s="10"/>
      <c r="R12" s="3">
        <v>767644.05</v>
      </c>
      <c r="S12" s="11">
        <f t="shared" si="14"/>
        <v>184234.57200000001</v>
      </c>
      <c r="T12" s="8">
        <f t="shared" si="15"/>
        <v>0.16200804084439419</v>
      </c>
      <c r="U12" s="8"/>
      <c r="V12" s="10">
        <f t="shared" si="16"/>
        <v>12.248047559550434</v>
      </c>
      <c r="X12" s="8">
        <f t="shared" si="17"/>
        <v>10.770411697169028</v>
      </c>
      <c r="Z12" s="35">
        <f t="shared" si="18"/>
        <v>4.3432240638420848E-2</v>
      </c>
    </row>
    <row r="13" spans="1:28">
      <c r="A13">
        <v>1144863</v>
      </c>
      <c r="B13">
        <v>2017</v>
      </c>
      <c r="C13" s="3">
        <v>24074.880000000001</v>
      </c>
      <c r="D13" s="5">
        <f>transportation!S13</f>
        <v>3681953.93</v>
      </c>
      <c r="E13" s="8">
        <f t="shared" si="8"/>
        <v>3.2160650925045182</v>
      </c>
      <c r="F13" s="8"/>
      <c r="G13" s="3">
        <f>electricity!D13</f>
        <v>9689</v>
      </c>
      <c r="H13" s="3">
        <f>electricity!M13</f>
        <v>1546333.3052344713</v>
      </c>
      <c r="I13" s="3">
        <f>electricity!N13</f>
        <v>483356.09964564559</v>
      </c>
      <c r="J13" s="3">
        <f>electricity!L13</f>
        <v>49528.764861423326</v>
      </c>
      <c r="K13" s="3">
        <f t="shared" si="10"/>
        <v>2079218.1697415402</v>
      </c>
      <c r="L13" s="8">
        <f t="shared" si="11"/>
        <v>1.8161283662250769</v>
      </c>
      <c r="M13" s="3"/>
      <c r="N13" s="3">
        <v>1117912243</v>
      </c>
      <c r="O13" s="3">
        <f t="shared" si="12"/>
        <v>5924934.8879000004</v>
      </c>
      <c r="P13" s="10">
        <f t="shared" si="13"/>
        <v>5.1752348428589272</v>
      </c>
      <c r="Q13" s="10"/>
      <c r="R13" s="3">
        <v>801279.7</v>
      </c>
      <c r="S13" s="11">
        <f t="shared" si="14"/>
        <v>192307.12799999997</v>
      </c>
      <c r="T13" s="8">
        <f t="shared" si="15"/>
        <v>0.16797392177055243</v>
      </c>
      <c r="U13" s="8"/>
      <c r="V13" s="10">
        <f t="shared" si="16"/>
        <v>11.878414115641542</v>
      </c>
      <c r="X13" s="8">
        <f t="shared" si="17"/>
        <v>10.375402223359076</v>
      </c>
      <c r="Z13" s="35">
        <f t="shared" si="18"/>
        <v>-3.0178968697804405E-2</v>
      </c>
    </row>
    <row r="14" spans="1:28">
      <c r="A14">
        <v>1150215</v>
      </c>
      <c r="B14">
        <v>2018</v>
      </c>
      <c r="C14" s="3">
        <f>transportation!C14</f>
        <v>23914</v>
      </c>
      <c r="D14" s="5">
        <f>transportation!S14</f>
        <v>3457412.9</v>
      </c>
      <c r="E14" s="8">
        <f t="shared" si="8"/>
        <v>3.0058840303769294</v>
      </c>
      <c r="F14" s="8"/>
      <c r="G14" s="3">
        <f>electricity!D14</f>
        <v>9258</v>
      </c>
      <c r="H14" s="3">
        <f>electricity!M14</f>
        <v>1490396.9631315146</v>
      </c>
      <c r="I14" s="3">
        <f>electricity!N14</f>
        <v>289456.79748121923</v>
      </c>
      <c r="J14" s="3">
        <f>electricity!L14</f>
        <v>148198.19786332682</v>
      </c>
      <c r="K14" s="3">
        <f t="shared" si="10"/>
        <v>1928051.9584760605</v>
      </c>
      <c r="L14" s="8">
        <f t="shared" si="11"/>
        <v>1.6762535338837179</v>
      </c>
      <c r="M14" s="3"/>
      <c r="N14" s="3">
        <v>1124144134</v>
      </c>
      <c r="O14" s="3">
        <f t="shared" si="12"/>
        <v>5957963.9101999998</v>
      </c>
      <c r="P14" s="10">
        <f t="shared" si="13"/>
        <v>5.1798697723469092</v>
      </c>
      <c r="Q14" s="10"/>
      <c r="R14" s="3">
        <v>875888.03</v>
      </c>
      <c r="S14" s="11">
        <f t="shared" si="14"/>
        <v>210213.12719999999</v>
      </c>
      <c r="T14" s="8">
        <f t="shared" si="15"/>
        <v>0.1827598555052751</v>
      </c>
      <c r="U14" s="8"/>
      <c r="V14" s="10">
        <f t="shared" si="16"/>
        <v>11.553641895876062</v>
      </c>
      <c r="X14" s="8">
        <f t="shared" si="17"/>
        <v>10.044767192112833</v>
      </c>
      <c r="Z14" s="35">
        <f t="shared" si="18"/>
        <v>-2.7341378790441271E-2</v>
      </c>
    </row>
    <row r="15" spans="1:28">
      <c r="A15">
        <v>1153526</v>
      </c>
      <c r="B15">
        <v>2019</v>
      </c>
      <c r="C15" s="3">
        <f>transportation!C15</f>
        <v>23599.7</v>
      </c>
      <c r="D15" s="5">
        <f>transportation!S15</f>
        <v>3623786.2580000008</v>
      </c>
      <c r="E15" s="8">
        <f t="shared" si="8"/>
        <v>3.1414864146971988</v>
      </c>
      <c r="F15" s="8"/>
      <c r="G15" s="3">
        <f>electricity!D15</f>
        <v>9639</v>
      </c>
      <c r="H15" s="3">
        <f>electricity!M15</f>
        <v>1473073.977521444</v>
      </c>
      <c r="I15" s="3">
        <f>electricity!N15</f>
        <v>3889.5844021706434</v>
      </c>
      <c r="J15" s="3">
        <f>electricity!L15</f>
        <v>137701.55127043911</v>
      </c>
      <c r="K15" s="3">
        <f>J15+I15+H15</f>
        <v>1614665.1131940538</v>
      </c>
      <c r="L15" s="8">
        <f t="shared" si="11"/>
        <v>1.3997648195134342</v>
      </c>
      <c r="M15" s="3"/>
      <c r="N15" s="3">
        <v>1205045221</v>
      </c>
      <c r="O15" s="3">
        <f t="shared" si="12"/>
        <v>6386739.6712999996</v>
      </c>
      <c r="P15" s="10">
        <f t="shared" si="13"/>
        <v>5.5367106344373678</v>
      </c>
      <c r="Q15" s="10"/>
      <c r="R15" s="3">
        <v>794519</v>
      </c>
      <c r="S15" s="11">
        <f t="shared" si="14"/>
        <v>190684.56</v>
      </c>
      <c r="T15" s="8">
        <f t="shared" si="15"/>
        <v>0.16530581885453818</v>
      </c>
      <c r="U15" s="8"/>
      <c r="V15" s="10">
        <f t="shared" si="16"/>
        <v>11.815875602494055</v>
      </c>
      <c r="X15" s="8">
        <f t="shared" si="17"/>
        <v>10.24326768750254</v>
      </c>
      <c r="Z15" s="35">
        <f t="shared" si="18"/>
        <v>2.2697060284653101E-2</v>
      </c>
      <c r="AB15" s="35">
        <f>(V15-V10)/V10</f>
        <v>-8.5688518584124875E-3</v>
      </c>
    </row>
    <row r="16" spans="1:28">
      <c r="A16" t="s">
        <v>6</v>
      </c>
      <c r="C16" s="3"/>
      <c r="D16" s="5"/>
      <c r="E16" s="8"/>
      <c r="F16" s="8"/>
      <c r="G16" s="3"/>
      <c r="H16" s="3"/>
      <c r="I16" s="3"/>
      <c r="J16" s="3"/>
      <c r="K16" s="3"/>
      <c r="M16" s="3"/>
      <c r="O16" s="3"/>
      <c r="P16" s="3"/>
      <c r="Q16" s="3"/>
      <c r="S16" s="3"/>
    </row>
    <row r="17" spans="1:28">
      <c r="A17">
        <v>260435</v>
      </c>
      <c r="B17" s="2">
        <v>2014</v>
      </c>
      <c r="C17" s="5">
        <v>7575.3334459999996</v>
      </c>
      <c r="D17" s="5">
        <f>transportation!S17</f>
        <v>614243.42499999993</v>
      </c>
      <c r="E17" s="8">
        <f t="shared" ref="E17:E64" si="19">D17/A17</f>
        <v>2.3585287115787046</v>
      </c>
      <c r="F17" s="8"/>
      <c r="G17" s="3">
        <f>electricity!D17</f>
        <v>1355.2776060000001</v>
      </c>
      <c r="H17" s="3">
        <f>electricity!M17</f>
        <v>20208.133021827402</v>
      </c>
      <c r="I17" s="3">
        <f>electricity!N17</f>
        <v>78905.263447501275</v>
      </c>
      <c r="J17" s="3">
        <f>electricity!L17</f>
        <v>133469.13536235815</v>
      </c>
      <c r="K17" s="3">
        <f t="shared" ref="K17:K21" si="20">J17+I17+H17</f>
        <v>232582.53183168682</v>
      </c>
      <c r="L17" s="8">
        <f t="shared" ref="L17:L22" si="21">K17/A17</f>
        <v>0.89305405122847092</v>
      </c>
      <c r="M17" s="3"/>
      <c r="N17" s="3">
        <v>62853068</v>
      </c>
      <c r="O17" s="3">
        <f t="shared" ref="O17:O22" si="22">N17*0.0053</f>
        <v>333121.26040000003</v>
      </c>
      <c r="P17" s="10">
        <f t="shared" ref="P17:P22" si="23">O17/A17</f>
        <v>1.2790955916063511</v>
      </c>
      <c r="Q17" s="10"/>
      <c r="R17" s="3">
        <v>177022.31</v>
      </c>
      <c r="S17" s="11">
        <f t="shared" ref="S17:S22" si="24">R17*0.24</f>
        <v>42485.354399999997</v>
      </c>
      <c r="T17" s="8">
        <f t="shared" ref="T17:T22" si="25">S17/A17</f>
        <v>0.16313227638374256</v>
      </c>
      <c r="U17" s="8"/>
      <c r="V17" s="10">
        <f t="shared" ref="V17:V22" si="26">(D17+K17+O17+S17)/1000000</f>
        <v>1.2224325716316868</v>
      </c>
      <c r="X17" s="8">
        <f t="shared" ref="X17:X22" si="27">(V17/A17)*1000000</f>
        <v>4.6938106307972696</v>
      </c>
    </row>
    <row r="18" spans="1:28">
      <c r="A18">
        <v>261016</v>
      </c>
      <c r="B18" s="2">
        <v>2015</v>
      </c>
      <c r="C18" s="5">
        <v>7563.5669999999991</v>
      </c>
      <c r="D18" s="5">
        <f>transportation!S18</f>
        <v>865349.61</v>
      </c>
      <c r="E18" s="8">
        <f t="shared" si="19"/>
        <v>3.3153125095779568</v>
      </c>
      <c r="F18" s="8"/>
      <c r="G18" s="3">
        <f>electricity!D18</f>
        <v>1354.8779219999999</v>
      </c>
      <c r="H18" s="3">
        <f>electricity!M18</f>
        <v>27992.802371339552</v>
      </c>
      <c r="I18" s="3">
        <f>electricity!N18</f>
        <v>69067.279452151954</v>
      </c>
      <c r="J18" s="3">
        <f>electricity!L18</f>
        <v>133839.94596158786</v>
      </c>
      <c r="K18" s="3">
        <f t="shared" si="20"/>
        <v>230900.02778507935</v>
      </c>
      <c r="L18" s="8">
        <f t="shared" si="21"/>
        <v>0.88462020636696348</v>
      </c>
      <c r="M18" s="3"/>
      <c r="N18" s="3">
        <v>63219034</v>
      </c>
      <c r="O18" s="3">
        <f t="shared" si="22"/>
        <v>335060.88020000001</v>
      </c>
      <c r="P18" s="10">
        <f t="shared" si="23"/>
        <v>1.2836794686915745</v>
      </c>
      <c r="Q18" s="10"/>
      <c r="R18" s="3">
        <v>188106.43</v>
      </c>
      <c r="S18" s="11">
        <f t="shared" si="24"/>
        <v>45145.5432</v>
      </c>
      <c r="T18" s="8">
        <f t="shared" si="25"/>
        <v>0.17296082692248752</v>
      </c>
      <c r="U18" s="8"/>
      <c r="V18" s="10">
        <f t="shared" si="26"/>
        <v>1.4764560611850794</v>
      </c>
      <c r="X18" s="8">
        <f t="shared" si="27"/>
        <v>5.656573011558983</v>
      </c>
      <c r="Z18" s="35">
        <f t="shared" ref="Z18:Z22" si="28">(V18-V17)/V17</f>
        <v>0.2078016370378003</v>
      </c>
    </row>
    <row r="19" spans="1:28">
      <c r="A19">
        <v>260633</v>
      </c>
      <c r="B19" s="2">
        <v>2016</v>
      </c>
      <c r="C19" s="5">
        <v>8027.2950000000001</v>
      </c>
      <c r="D19" s="5">
        <f>transportation!S19</f>
        <v>851792.99400000006</v>
      </c>
      <c r="E19" s="8">
        <f t="shared" si="19"/>
        <v>3.2681701626424897</v>
      </c>
      <c r="F19" s="8"/>
      <c r="G19" s="3">
        <f>electricity!D19</f>
        <v>1342.7602870000001</v>
      </c>
      <c r="H19" s="3">
        <f>electricity!M19</f>
        <v>35699.917007683754</v>
      </c>
      <c r="I19" s="3">
        <f>electricity!N19</f>
        <v>45646.909153755521</v>
      </c>
      <c r="J19" s="3">
        <f>electricity!L19</f>
        <v>116057.16002495796</v>
      </c>
      <c r="K19" s="3">
        <f t="shared" si="20"/>
        <v>197403.98618639723</v>
      </c>
      <c r="L19" s="8">
        <f t="shared" si="21"/>
        <v>0.75740211786840972</v>
      </c>
      <c r="M19" s="3"/>
      <c r="N19" s="3">
        <v>66310725</v>
      </c>
      <c r="O19" s="3">
        <f t="shared" si="22"/>
        <v>351446.84250000003</v>
      </c>
      <c r="P19" s="10">
        <f t="shared" si="23"/>
        <v>1.3484357026930589</v>
      </c>
      <c r="Q19" s="10"/>
      <c r="R19" s="3">
        <v>223071.2</v>
      </c>
      <c r="S19" s="11">
        <f t="shared" si="24"/>
        <v>53537.088000000003</v>
      </c>
      <c r="T19" s="8">
        <f t="shared" si="25"/>
        <v>0.2054117782475742</v>
      </c>
      <c r="U19" s="8"/>
      <c r="V19" s="10">
        <f t="shared" si="26"/>
        <v>1.4541809106863972</v>
      </c>
      <c r="X19" s="8">
        <f t="shared" si="27"/>
        <v>5.5794197614515326</v>
      </c>
      <c r="Z19" s="35">
        <f t="shared" si="28"/>
        <v>-1.5086903758451876E-2</v>
      </c>
    </row>
    <row r="20" spans="1:28">
      <c r="A20">
        <v>259725</v>
      </c>
      <c r="B20" s="2">
        <v>2017</v>
      </c>
      <c r="C20" s="5">
        <v>8024.0230000000001</v>
      </c>
      <c r="D20" s="5">
        <f>transportation!S20</f>
        <v>842849.24700000009</v>
      </c>
      <c r="E20" s="8">
        <f t="shared" si="19"/>
        <v>3.2451602541149298</v>
      </c>
      <c r="F20" s="8"/>
      <c r="G20" s="3">
        <f>electricity!D20</f>
        <v>1384.9079819999999</v>
      </c>
      <c r="H20" s="3">
        <f>electricity!M20</f>
        <v>51518.166069420753</v>
      </c>
      <c r="I20" s="3">
        <f>electricity!N20</f>
        <v>32762.941553217097</v>
      </c>
      <c r="J20" s="3">
        <f>electricity!L20</f>
        <v>45515.878177414495</v>
      </c>
      <c r="K20" s="3">
        <f t="shared" si="20"/>
        <v>129796.98580005235</v>
      </c>
      <c r="L20" s="8">
        <f t="shared" si="21"/>
        <v>0.49974775551083783</v>
      </c>
      <c r="M20" s="3"/>
      <c r="N20" s="3">
        <v>70291466</v>
      </c>
      <c r="O20" s="3">
        <f t="shared" si="22"/>
        <v>372544.76980000001</v>
      </c>
      <c r="P20" s="10">
        <f t="shared" si="23"/>
        <v>1.4343816336509769</v>
      </c>
      <c r="Q20" s="10"/>
      <c r="R20" s="3">
        <v>231661.88</v>
      </c>
      <c r="S20" s="11">
        <f t="shared" si="24"/>
        <v>55598.851199999997</v>
      </c>
      <c r="T20" s="8">
        <f t="shared" si="25"/>
        <v>0.2140681536240254</v>
      </c>
      <c r="U20" s="8"/>
      <c r="V20" s="10">
        <f t="shared" si="26"/>
        <v>1.4007898538000523</v>
      </c>
      <c r="X20" s="8">
        <f t="shared" si="27"/>
        <v>5.3933577969007693</v>
      </c>
      <c r="Z20" s="35">
        <f t="shared" si="28"/>
        <v>-3.6715553404660962E-2</v>
      </c>
    </row>
    <row r="21" spans="1:28">
      <c r="A21">
        <v>259666</v>
      </c>
      <c r="B21">
        <v>2018</v>
      </c>
      <c r="C21" s="5">
        <f>transportation!C21</f>
        <v>8408</v>
      </c>
      <c r="D21" s="5">
        <f>transportation!S21</f>
        <v>680750.7</v>
      </c>
      <c r="E21" s="8">
        <f t="shared" si="19"/>
        <v>2.6216397217964613</v>
      </c>
      <c r="F21" s="8"/>
      <c r="G21" s="3">
        <f>electricity!D21</f>
        <v>1329.1875680000001</v>
      </c>
      <c r="H21" s="3">
        <f>electricity!M21</f>
        <v>44781.766347782832</v>
      </c>
      <c r="I21" s="3">
        <f>electricity!N21</f>
        <v>31249.723260155934</v>
      </c>
      <c r="J21" s="3">
        <f>electricity!L21</f>
        <v>49258.457629550343</v>
      </c>
      <c r="K21" s="3">
        <f t="shared" si="20"/>
        <v>125289.9472374891</v>
      </c>
      <c r="L21" s="8">
        <f t="shared" si="21"/>
        <v>0.48250424482792936</v>
      </c>
      <c r="M21" s="3"/>
      <c r="N21" s="3">
        <v>68535263</v>
      </c>
      <c r="O21" s="3">
        <f t="shared" si="22"/>
        <v>363236.89390000002</v>
      </c>
      <c r="P21" s="10">
        <f t="shared" si="23"/>
        <v>1.3988619761539824</v>
      </c>
      <c r="Q21" s="10"/>
      <c r="R21" s="3">
        <v>250465.71</v>
      </c>
      <c r="S21" s="11">
        <f t="shared" si="24"/>
        <v>60111.770399999994</v>
      </c>
      <c r="T21" s="8">
        <f t="shared" si="25"/>
        <v>0.2314965008896043</v>
      </c>
      <c r="U21" s="8"/>
      <c r="V21" s="10">
        <f t="shared" si="26"/>
        <v>1.229389311537489</v>
      </c>
      <c r="X21" s="8">
        <f t="shared" si="27"/>
        <v>4.7345024436679779</v>
      </c>
      <c r="Z21" s="35">
        <f t="shared" si="28"/>
        <v>-0.12235992557883624</v>
      </c>
    </row>
    <row r="22" spans="1:28">
      <c r="A22">
        <v>258826</v>
      </c>
      <c r="B22" s="2">
        <v>2019</v>
      </c>
      <c r="C22" s="5">
        <f>transportation!C22</f>
        <v>8000</v>
      </c>
      <c r="D22" s="5">
        <f>transportation!S22</f>
        <v>799309.424</v>
      </c>
      <c r="E22" s="8">
        <f t="shared" si="19"/>
        <v>3.0882114779813463</v>
      </c>
      <c r="F22" s="8"/>
      <c r="G22" s="3">
        <f>electricity!D22</f>
        <v>1355</v>
      </c>
      <c r="H22" s="3">
        <f>electricity!M22</f>
        <v>57329.048927999989</v>
      </c>
      <c r="I22" s="3">
        <f>electricity!N22</f>
        <v>437.83836738129122</v>
      </c>
      <c r="J22" s="3">
        <f>electricity!L22</f>
        <v>37088.458459956368</v>
      </c>
      <c r="K22" s="3">
        <f>J22+I22+H22</f>
        <v>94855.34575533765</v>
      </c>
      <c r="L22" s="8">
        <f t="shared" si="21"/>
        <v>0.36648306489818505</v>
      </c>
      <c r="M22" s="3"/>
      <c r="N22" s="3">
        <v>70290539</v>
      </c>
      <c r="O22" s="3">
        <f t="shared" si="22"/>
        <v>372539.8567</v>
      </c>
      <c r="P22" s="10">
        <f t="shared" si="23"/>
        <v>1.439344798049655</v>
      </c>
      <c r="Q22" s="10"/>
      <c r="R22" s="3">
        <v>241254</v>
      </c>
      <c r="S22" s="11">
        <f t="shared" si="24"/>
        <v>57900.959999999999</v>
      </c>
      <c r="T22" s="8">
        <f t="shared" si="25"/>
        <v>0.22370611916886249</v>
      </c>
      <c r="U22" s="8"/>
      <c r="V22" s="10">
        <f t="shared" si="26"/>
        <v>1.3246055864553377</v>
      </c>
      <c r="X22" s="8">
        <f t="shared" si="27"/>
        <v>5.1177454600980496</v>
      </c>
      <c r="Z22" s="35">
        <f t="shared" si="28"/>
        <v>7.7450059166994115E-2</v>
      </c>
      <c r="AB22" s="35">
        <f>(V22-V17)/V17</f>
        <v>8.3581718284282652E-2</v>
      </c>
    </row>
    <row r="23" spans="1:28">
      <c r="A23" t="s">
        <v>7</v>
      </c>
      <c r="C23" s="3"/>
      <c r="D23" s="5"/>
      <c r="E23" s="8"/>
      <c r="F23" s="8"/>
      <c r="G23" s="3"/>
      <c r="H23" s="3"/>
      <c r="I23" s="3"/>
      <c r="J23" s="3"/>
      <c r="K23" s="3"/>
      <c r="M23" s="3"/>
      <c r="O23" s="3"/>
      <c r="P23" s="3"/>
      <c r="Q23" s="3"/>
      <c r="S23" s="3"/>
    </row>
    <row r="24" spans="1:28">
      <c r="A24">
        <v>140567</v>
      </c>
      <c r="B24" s="2">
        <v>2014</v>
      </c>
      <c r="C24" s="5">
        <v>3310.3302399999998</v>
      </c>
      <c r="D24" s="5">
        <f>transportation!S24</f>
        <v>338062.44900000002</v>
      </c>
      <c r="E24" s="8">
        <f t="shared" si="19"/>
        <v>2.4049915627423224</v>
      </c>
      <c r="F24" s="8"/>
      <c r="G24" s="3">
        <f>electricity!D24</f>
        <v>1047.13804</v>
      </c>
      <c r="H24" s="3">
        <f>electricity!M24</f>
        <v>30320.318828301006</v>
      </c>
      <c r="I24" s="3">
        <f>electricity!N24</f>
        <v>192627.53850290808</v>
      </c>
      <c r="J24" s="3">
        <f>electricity!L24</f>
        <v>7.4881839846248761</v>
      </c>
      <c r="K24" s="3">
        <f t="shared" ref="K24:K28" si="29">J24+I24+H24</f>
        <v>222955.34551519371</v>
      </c>
      <c r="L24" s="8">
        <f t="shared" ref="L24:L29" si="30">K24/A24</f>
        <v>1.5861144188550207</v>
      </c>
      <c r="M24" s="3"/>
      <c r="N24" s="3">
        <v>34974955</v>
      </c>
      <c r="O24" s="3">
        <f t="shared" ref="O24:O29" si="31">N24*0.0053</f>
        <v>185367.26149999999</v>
      </c>
      <c r="P24" s="10">
        <f t="shared" ref="P24:P29" si="32">O24/A24</f>
        <v>1.3187110879509414</v>
      </c>
      <c r="Q24" s="10"/>
      <c r="R24" s="3">
        <v>120497.74</v>
      </c>
      <c r="S24" s="11">
        <f t="shared" ref="S24:S29" si="33">R24*0.24</f>
        <v>28919.457600000002</v>
      </c>
      <c r="T24" s="8">
        <f t="shared" ref="T24:T29" si="34">S24/A24</f>
        <v>0.20573433024820906</v>
      </c>
      <c r="U24" s="8"/>
      <c r="V24" s="10">
        <f t="shared" ref="V24:V29" si="35">(D24+K24+O24+S24)/1000000</f>
        <v>0.7753045136151937</v>
      </c>
      <c r="X24" s="8">
        <f t="shared" ref="X24:X29" si="36">(V24/A24)*1000000</f>
        <v>5.515551399796494</v>
      </c>
    </row>
    <row r="25" spans="1:28">
      <c r="A25">
        <v>141096</v>
      </c>
      <c r="B25" s="2">
        <v>2015</v>
      </c>
      <c r="C25" s="5">
        <v>3329.6079999999961</v>
      </c>
      <c r="D25" s="5">
        <f>transportation!S25</f>
        <v>575824.81800000009</v>
      </c>
      <c r="E25" s="8">
        <f t="shared" si="19"/>
        <v>4.0810853461473044</v>
      </c>
      <c r="F25" s="8"/>
      <c r="G25" s="3">
        <f>electricity!D25</f>
        <v>1053.272377</v>
      </c>
      <c r="H25" s="3">
        <f>electricity!M25</f>
        <v>34328.321703921931</v>
      </c>
      <c r="I25" s="3">
        <f>electricity!N25</f>
        <v>126558.94560512761</v>
      </c>
      <c r="J25" s="3">
        <f>electricity!L25</f>
        <v>41631.026372933673</v>
      </c>
      <c r="K25" s="3">
        <f t="shared" si="29"/>
        <v>202518.2936819832</v>
      </c>
      <c r="L25" s="8">
        <f t="shared" si="30"/>
        <v>1.4353227141944718</v>
      </c>
      <c r="M25" s="3"/>
      <c r="N25" s="3">
        <v>34687451</v>
      </c>
      <c r="O25" s="3">
        <f t="shared" si="31"/>
        <v>183843.4903</v>
      </c>
      <c r="P25" s="10">
        <f t="shared" si="32"/>
        <v>1.3029674143845325</v>
      </c>
      <c r="Q25" s="10"/>
      <c r="R25" s="3">
        <v>124258.7</v>
      </c>
      <c r="S25" s="11">
        <f t="shared" si="33"/>
        <v>29822.088</v>
      </c>
      <c r="T25" s="8">
        <f t="shared" si="34"/>
        <v>0.21136026535125021</v>
      </c>
      <c r="U25" s="8"/>
      <c r="V25" s="10">
        <f t="shared" si="35"/>
        <v>0.99200868998198333</v>
      </c>
      <c r="X25" s="8">
        <f t="shared" si="36"/>
        <v>7.0307357400775592</v>
      </c>
      <c r="Z25" s="35">
        <f t="shared" ref="Z25:Z29" si="37">(V25-V24)/V24</f>
        <v>0.27950846739729707</v>
      </c>
    </row>
    <row r="26" spans="1:28">
      <c r="A26">
        <v>141185</v>
      </c>
      <c r="B26" s="2">
        <v>2016</v>
      </c>
      <c r="C26" s="5">
        <v>3046.3739999999998</v>
      </c>
      <c r="D26" s="5">
        <f>transportation!S26</f>
        <v>517764.51899999997</v>
      </c>
      <c r="E26" s="8">
        <f t="shared" si="19"/>
        <v>3.6672771115911744</v>
      </c>
      <c r="F26" s="8"/>
      <c r="G26" s="3">
        <f>electricity!D26</f>
        <v>1057.5443</v>
      </c>
      <c r="H26" s="3">
        <f>electricity!M26</f>
        <v>38923.039017684103</v>
      </c>
      <c r="I26" s="3">
        <f>electricity!N26</f>
        <v>64758.45686509736</v>
      </c>
      <c r="J26" s="3">
        <f>electricity!L26</f>
        <v>60872.558190109943</v>
      </c>
      <c r="K26" s="3">
        <f t="shared" si="29"/>
        <v>164554.05407289142</v>
      </c>
      <c r="L26" s="8">
        <f t="shared" si="30"/>
        <v>1.165520799468013</v>
      </c>
      <c r="M26" s="3"/>
      <c r="N26" s="3">
        <v>36483510</v>
      </c>
      <c r="O26" s="3">
        <f t="shared" si="31"/>
        <v>193362.603</v>
      </c>
      <c r="P26" s="10">
        <f t="shared" si="32"/>
        <v>1.3695690264546516</v>
      </c>
      <c r="Q26" s="10"/>
      <c r="R26" s="3">
        <v>129346.34</v>
      </c>
      <c r="S26" s="11">
        <f t="shared" si="33"/>
        <v>31043.121599999999</v>
      </c>
      <c r="T26" s="8">
        <f t="shared" si="34"/>
        <v>0.21987549385557956</v>
      </c>
      <c r="U26" s="8"/>
      <c r="V26" s="10">
        <f t="shared" si="35"/>
        <v>0.90672429767289142</v>
      </c>
      <c r="X26" s="8">
        <f t="shared" si="36"/>
        <v>6.4222424313694191</v>
      </c>
      <c r="Z26" s="35">
        <f t="shared" si="37"/>
        <v>-8.5971416551442539E-2</v>
      </c>
    </row>
    <row r="27" spans="1:28">
      <c r="A27">
        <v>140386</v>
      </c>
      <c r="B27" s="2">
        <v>2017</v>
      </c>
      <c r="C27" s="5">
        <v>2945.9969999999998</v>
      </c>
      <c r="D27" s="5">
        <f>transportation!S27</f>
        <v>484096.79100000003</v>
      </c>
      <c r="E27" s="8">
        <f t="shared" si="19"/>
        <v>3.4483266921202973</v>
      </c>
      <c r="F27" s="8"/>
      <c r="G27" s="3">
        <f>electricity!D27</f>
        <v>1060.8604760000001</v>
      </c>
      <c r="H27" s="3">
        <f>electricity!M27</f>
        <v>43980.375672233247</v>
      </c>
      <c r="I27" s="3">
        <f>electricity!N27</f>
        <v>11256.887724251168</v>
      </c>
      <c r="J27" s="3">
        <f>electricity!L27</f>
        <v>41527.719920019685</v>
      </c>
      <c r="K27" s="3">
        <f t="shared" si="29"/>
        <v>96764.983316504105</v>
      </c>
      <c r="L27" s="8">
        <f t="shared" si="30"/>
        <v>0.68927801430701141</v>
      </c>
      <c r="M27" s="3"/>
      <c r="N27" s="3">
        <v>38928970</v>
      </c>
      <c r="O27" s="3">
        <f t="shared" si="31"/>
        <v>206323.541</v>
      </c>
      <c r="P27" s="10">
        <f t="shared" si="32"/>
        <v>1.4696874403430542</v>
      </c>
      <c r="Q27" s="10"/>
      <c r="R27" s="3">
        <v>188270.06</v>
      </c>
      <c r="S27" s="11">
        <f t="shared" si="33"/>
        <v>45184.814399999996</v>
      </c>
      <c r="T27" s="8">
        <f t="shared" si="34"/>
        <v>0.32186125682048067</v>
      </c>
      <c r="U27" s="8"/>
      <c r="V27" s="10">
        <f t="shared" si="35"/>
        <v>0.83237012971650415</v>
      </c>
      <c r="X27" s="8">
        <f t="shared" si="36"/>
        <v>5.9291534035908429</v>
      </c>
      <c r="Z27" s="35">
        <f t="shared" si="37"/>
        <v>-8.200306107073263E-2</v>
      </c>
    </row>
    <row r="28" spans="1:28">
      <c r="A28">
        <v>139417</v>
      </c>
      <c r="B28">
        <v>2018</v>
      </c>
      <c r="C28" s="5">
        <f>transportation!C28</f>
        <v>3215</v>
      </c>
      <c r="D28" s="5">
        <f>transportation!S28</f>
        <v>545973.19999999995</v>
      </c>
      <c r="E28" s="8">
        <f t="shared" si="19"/>
        <v>3.9161163990044252</v>
      </c>
      <c r="F28" s="8"/>
      <c r="G28" s="3">
        <f>electricity!D28</f>
        <v>1034.602938</v>
      </c>
      <c r="H28" s="3">
        <f>electricity!M28</f>
        <v>47400.612980023747</v>
      </c>
      <c r="I28" s="3">
        <f>electricity!N28</f>
        <v>14619.898490410975</v>
      </c>
      <c r="J28" s="3">
        <f>electricity!L28</f>
        <v>42466.610682573686</v>
      </c>
      <c r="K28" s="3">
        <f t="shared" si="29"/>
        <v>104487.12215300841</v>
      </c>
      <c r="L28" s="8">
        <f t="shared" si="30"/>
        <v>0.74945754214341442</v>
      </c>
      <c r="M28" s="3"/>
      <c r="N28" s="3">
        <v>39400470</v>
      </c>
      <c r="O28" s="3">
        <f t="shared" si="31"/>
        <v>208822.49100000001</v>
      </c>
      <c r="P28" s="10">
        <f t="shared" si="32"/>
        <v>1.4978265993386748</v>
      </c>
      <c r="Q28" s="10"/>
      <c r="R28" s="3">
        <v>231472.15</v>
      </c>
      <c r="S28" s="11">
        <f t="shared" si="33"/>
        <v>55553.315999999999</v>
      </c>
      <c r="T28" s="8">
        <f t="shared" si="34"/>
        <v>0.39846873767187646</v>
      </c>
      <c r="U28" s="8"/>
      <c r="V28" s="10">
        <f t="shared" si="35"/>
        <v>0.91483612915300838</v>
      </c>
      <c r="X28" s="8">
        <f t="shared" si="36"/>
        <v>6.5618692781583912</v>
      </c>
      <c r="Z28" s="35">
        <f t="shared" si="37"/>
        <v>9.9073713114370437E-2</v>
      </c>
    </row>
    <row r="29" spans="1:28">
      <c r="A29">
        <v>137744</v>
      </c>
      <c r="B29" s="2">
        <v>2019</v>
      </c>
      <c r="C29" s="5">
        <f>transportation!C29</f>
        <v>3104</v>
      </c>
      <c r="D29" s="5">
        <f>transportation!S29</f>
        <v>509007.27800000005</v>
      </c>
      <c r="E29" s="8">
        <f t="shared" si="19"/>
        <v>3.6953136107561857</v>
      </c>
      <c r="F29" s="8"/>
      <c r="G29" s="3">
        <f>electricity!D29</f>
        <v>1042</v>
      </c>
      <c r="H29" s="3">
        <f>electricity!M29</f>
        <v>49752.832608000019</v>
      </c>
      <c r="I29" s="3">
        <f>electricity!N29</f>
        <v>186.91326666030739</v>
      </c>
      <c r="J29" s="3">
        <f>electricity!L29</f>
        <v>32514.697691500336</v>
      </c>
      <c r="K29" s="3">
        <f>J29+I29+H29</f>
        <v>82454.443566160655</v>
      </c>
      <c r="L29" s="8">
        <f t="shared" si="30"/>
        <v>0.59860642616854931</v>
      </c>
      <c r="M29" s="3"/>
      <c r="N29" s="3">
        <v>39727600</v>
      </c>
      <c r="O29" s="3">
        <f t="shared" si="31"/>
        <v>210556.28</v>
      </c>
      <c r="P29" s="10">
        <f t="shared" si="32"/>
        <v>1.5286058194912302</v>
      </c>
      <c r="Q29" s="10"/>
      <c r="R29" s="3">
        <v>180695</v>
      </c>
      <c r="S29" s="11">
        <f t="shared" si="33"/>
        <v>43366.799999999996</v>
      </c>
      <c r="T29" s="8">
        <f t="shared" si="34"/>
        <v>0.31483621791148797</v>
      </c>
      <c r="U29" s="8"/>
      <c r="V29" s="10">
        <f t="shared" si="35"/>
        <v>0.8453848015661608</v>
      </c>
      <c r="X29" s="8">
        <f t="shared" si="36"/>
        <v>6.137362074327454</v>
      </c>
      <c r="Z29" s="35">
        <f t="shared" si="37"/>
        <v>-7.5916686468371533E-2</v>
      </c>
      <c r="AB29" s="35">
        <f>(V29-V24)/V24</f>
        <v>9.0390661630727967E-2</v>
      </c>
    </row>
    <row r="30" spans="1:28">
      <c r="A30" t="s">
        <v>8</v>
      </c>
      <c r="C30" s="3"/>
      <c r="D30" s="5"/>
      <c r="E30" s="8"/>
      <c r="F30" s="8"/>
      <c r="G30" s="3"/>
      <c r="H30" s="3"/>
      <c r="I30" s="3"/>
      <c r="J30" s="3"/>
      <c r="K30" s="3"/>
      <c r="M30" s="3"/>
      <c r="O30" s="3"/>
      <c r="P30" s="3"/>
      <c r="Q30" s="3"/>
      <c r="S30" s="3"/>
    </row>
    <row r="31" spans="1:28">
      <c r="A31">
        <v>851116</v>
      </c>
      <c r="B31" s="2">
        <v>2014</v>
      </c>
      <c r="C31" s="5">
        <v>8812.1693259999993</v>
      </c>
      <c r="D31" s="5">
        <f>transportation!S31</f>
        <v>828517.8820000001</v>
      </c>
      <c r="E31" s="8">
        <f t="shared" si="19"/>
        <v>0.97344883893617329</v>
      </c>
      <c r="F31" s="8"/>
      <c r="G31" s="3">
        <f>electricity!D31</f>
        <v>5845.729327</v>
      </c>
      <c r="H31" s="3">
        <f>electricity!M31</f>
        <v>457678.16097940831</v>
      </c>
      <c r="I31" s="3">
        <f>electricity!N31</f>
        <v>942451.55846062035</v>
      </c>
      <c r="J31" s="3">
        <f>electricity!L31</f>
        <v>0</v>
      </c>
      <c r="K31" s="3">
        <f t="shared" ref="K31:K35" si="38">J31+I31+H31</f>
        <v>1400129.7194400285</v>
      </c>
      <c r="L31" s="8">
        <f t="shared" ref="L31:L36" si="39">K31/A31</f>
        <v>1.6450515786802604</v>
      </c>
      <c r="M31" s="3"/>
      <c r="N31" s="3">
        <v>219951087</v>
      </c>
      <c r="O31" s="3">
        <f t="shared" ref="O31:O36" si="40">N31*0.0053</f>
        <v>1165740.7611</v>
      </c>
      <c r="P31" s="10">
        <f t="shared" ref="P31:P36" si="41">O31/A31</f>
        <v>1.3696614340465929</v>
      </c>
      <c r="Q31" s="10"/>
      <c r="R31" s="3">
        <v>529474.27</v>
      </c>
      <c r="S31" s="11">
        <f t="shared" ref="S31:S36" si="42">R31*0.24</f>
        <v>127073.8248</v>
      </c>
      <c r="T31" s="8">
        <f t="shared" ref="T31:T36" si="43">S31/A31</f>
        <v>0.14930259189111708</v>
      </c>
      <c r="U31" s="8"/>
      <c r="V31" s="10">
        <f t="shared" ref="V31:V36" si="44">(D31+K31+O31+S31)/1000000</f>
        <v>3.5214621873400289</v>
      </c>
      <c r="X31" s="8">
        <f t="shared" ref="X31:X36" si="45">(V31/A31)*1000000</f>
        <v>4.1374644435541441</v>
      </c>
    </row>
    <row r="32" spans="1:28">
      <c r="A32">
        <v>863836</v>
      </c>
      <c r="B32" s="2">
        <v>2015</v>
      </c>
      <c r="C32" s="5">
        <v>8843.8579999999529</v>
      </c>
      <c r="D32" s="5">
        <f>transportation!S32</f>
        <v>1124179.2439999999</v>
      </c>
      <c r="E32" s="8">
        <f t="shared" si="19"/>
        <v>1.3013804055399405</v>
      </c>
      <c r="F32" s="8"/>
      <c r="G32" s="3">
        <f>electricity!D32</f>
        <v>5805.8061159999997</v>
      </c>
      <c r="H32" s="3">
        <f>electricity!M32</f>
        <v>480303.44823123555</v>
      </c>
      <c r="I32" s="3">
        <f>electricity!N32</f>
        <v>860409.47476621694</v>
      </c>
      <c r="J32" s="3">
        <f>electricity!L32</f>
        <v>0</v>
      </c>
      <c r="K32" s="3">
        <f t="shared" si="38"/>
        <v>1340712.9229974526</v>
      </c>
      <c r="L32" s="8">
        <f t="shared" si="39"/>
        <v>1.5520456695454374</v>
      </c>
      <c r="M32" s="3"/>
      <c r="N32" s="3">
        <v>213765305</v>
      </c>
      <c r="O32" s="3">
        <f t="shared" si="40"/>
        <v>1132956.1165</v>
      </c>
      <c r="P32" s="10">
        <f t="shared" si="41"/>
        <v>1.311540751369473</v>
      </c>
      <c r="Q32" s="10"/>
      <c r="R32" s="3">
        <v>590100</v>
      </c>
      <c r="S32" s="11">
        <f t="shared" si="42"/>
        <v>141624</v>
      </c>
      <c r="T32" s="8">
        <f t="shared" si="43"/>
        <v>0.16394778638537871</v>
      </c>
      <c r="U32" s="8"/>
      <c r="V32" s="10">
        <f t="shared" si="44"/>
        <v>3.7394722834974523</v>
      </c>
      <c r="X32" s="8">
        <f t="shared" si="45"/>
        <v>4.3289146128402294</v>
      </c>
      <c r="Z32" s="35">
        <f t="shared" ref="Z32:Z36" si="46">(V32-V31)/V31</f>
        <v>6.1908969785672882E-2</v>
      </c>
    </row>
    <row r="33" spans="1:28">
      <c r="A33">
        <v>872795</v>
      </c>
      <c r="B33" s="2">
        <v>2016</v>
      </c>
      <c r="C33" s="5">
        <v>9580.0120000000097</v>
      </c>
      <c r="D33" s="5">
        <f>transportation!S33</f>
        <v>1125552.9379999998</v>
      </c>
      <c r="E33" s="8">
        <f t="shared" si="19"/>
        <v>1.2895959967690005</v>
      </c>
      <c r="F33" s="8"/>
      <c r="G33" s="3">
        <f>electricity!D33</f>
        <v>5759.1109850000003</v>
      </c>
      <c r="H33" s="3">
        <f>electricity!M33</f>
        <v>465870.0073949779</v>
      </c>
      <c r="I33" s="3">
        <f>electricity!N33</f>
        <v>592784.68921227218</v>
      </c>
      <c r="J33" s="3">
        <f>electricity!L33</f>
        <v>19131.832078381569</v>
      </c>
      <c r="K33" s="3">
        <f t="shared" si="38"/>
        <v>1077786.5286856317</v>
      </c>
      <c r="L33" s="8">
        <f t="shared" si="39"/>
        <v>1.2348678998913052</v>
      </c>
      <c r="M33" s="3"/>
      <c r="N33" s="3">
        <v>226796637</v>
      </c>
      <c r="O33" s="3">
        <f t="shared" si="40"/>
        <v>1202022.1761</v>
      </c>
      <c r="P33" s="10">
        <f t="shared" si="41"/>
        <v>1.3772101995313906</v>
      </c>
      <c r="Q33" s="10"/>
      <c r="R33" s="3">
        <v>600231.49</v>
      </c>
      <c r="S33" s="11">
        <f t="shared" si="42"/>
        <v>144055.5576</v>
      </c>
      <c r="T33" s="8">
        <f t="shared" si="43"/>
        <v>0.16505085111624149</v>
      </c>
      <c r="U33" s="8"/>
      <c r="V33" s="10">
        <f t="shared" si="44"/>
        <v>3.5494172003856312</v>
      </c>
      <c r="X33" s="8">
        <f t="shared" si="45"/>
        <v>4.0667249473079377</v>
      </c>
      <c r="Z33" s="35">
        <f t="shared" si="46"/>
        <v>-5.0824038448031073E-2</v>
      </c>
    </row>
    <row r="34" spans="1:28">
      <c r="A34">
        <v>879166</v>
      </c>
      <c r="B34" s="2">
        <v>2017</v>
      </c>
      <c r="C34" s="5">
        <v>9648.7290000000103</v>
      </c>
      <c r="D34" s="5">
        <f>transportation!S34</f>
        <v>1124148.098</v>
      </c>
      <c r="E34" s="8">
        <f t="shared" si="19"/>
        <v>1.2786528346182633</v>
      </c>
      <c r="F34" s="8"/>
      <c r="G34" s="3">
        <f>electricity!D34</f>
        <v>5735.3346680000004</v>
      </c>
      <c r="H34" s="3">
        <f>electricity!M34</f>
        <v>468558.92707659473</v>
      </c>
      <c r="I34" s="3">
        <f>electricity!N34</f>
        <v>391022.82143470104</v>
      </c>
      <c r="J34" s="3">
        <f>electricity!L34</f>
        <v>0</v>
      </c>
      <c r="K34" s="3">
        <f t="shared" si="38"/>
        <v>859581.74851129577</v>
      </c>
      <c r="L34" s="8">
        <f t="shared" si="39"/>
        <v>0.97772405724436084</v>
      </c>
      <c r="M34" s="3"/>
      <c r="N34" s="3">
        <v>229956861</v>
      </c>
      <c r="O34" s="3">
        <f t="shared" si="40"/>
        <v>1218771.3633000001</v>
      </c>
      <c r="P34" s="10">
        <f t="shared" si="41"/>
        <v>1.3862812748673174</v>
      </c>
      <c r="Q34" s="10"/>
      <c r="R34" s="3">
        <v>626997.05000000005</v>
      </c>
      <c r="S34" s="11">
        <f t="shared" si="42"/>
        <v>150479.29200000002</v>
      </c>
      <c r="T34" s="8">
        <f t="shared" si="43"/>
        <v>0.17116140979064251</v>
      </c>
      <c r="U34" s="8"/>
      <c r="V34" s="10">
        <f t="shared" si="44"/>
        <v>3.3529805018112957</v>
      </c>
      <c r="X34" s="8">
        <f t="shared" si="45"/>
        <v>3.8138195765205838</v>
      </c>
      <c r="Z34" s="35">
        <f t="shared" si="46"/>
        <v>-5.5343366948521412E-2</v>
      </c>
    </row>
    <row r="35" spans="1:28">
      <c r="A35">
        <v>883305</v>
      </c>
      <c r="B35">
        <v>2018</v>
      </c>
      <c r="C35" s="5">
        <f>transportation!C35</f>
        <v>9096</v>
      </c>
      <c r="D35" s="5">
        <f>transportation!S35</f>
        <v>1001279.5</v>
      </c>
      <c r="E35" s="8">
        <f t="shared" si="19"/>
        <v>1.1335603217461692</v>
      </c>
      <c r="F35" s="8"/>
      <c r="G35" s="3">
        <f>electricity!D35</f>
        <v>5602.2814770000005</v>
      </c>
      <c r="H35" s="3">
        <f>electricity!M35</f>
        <v>460213.03512409877</v>
      </c>
      <c r="I35" s="3">
        <f>electricity!N35</f>
        <v>306938.54010070249</v>
      </c>
      <c r="J35" s="3">
        <f>electricity!L35</f>
        <v>63669.702893949019</v>
      </c>
      <c r="K35" s="3">
        <f t="shared" si="38"/>
        <v>830821.27811875031</v>
      </c>
      <c r="L35" s="8">
        <f t="shared" si="39"/>
        <v>0.94058255995239504</v>
      </c>
      <c r="M35" s="3"/>
      <c r="N35" s="3">
        <v>228029534</v>
      </c>
      <c r="O35" s="3">
        <f t="shared" si="40"/>
        <v>1208556.5301999999</v>
      </c>
      <c r="P35" s="10">
        <f t="shared" si="41"/>
        <v>1.3682210903368597</v>
      </c>
      <c r="Q35" s="10"/>
      <c r="R35" s="3">
        <v>739690.89</v>
      </c>
      <c r="S35" s="11">
        <f t="shared" si="42"/>
        <v>177525.81359999999</v>
      </c>
      <c r="T35" s="8">
        <f t="shared" si="43"/>
        <v>0.20097906566814405</v>
      </c>
      <c r="U35" s="8"/>
      <c r="V35" s="10">
        <f t="shared" si="44"/>
        <v>3.21818312191875</v>
      </c>
      <c r="X35" s="8">
        <f t="shared" si="45"/>
        <v>3.6433430377035676</v>
      </c>
      <c r="Z35" s="35">
        <f t="shared" si="46"/>
        <v>-4.0202255819778113E-2</v>
      </c>
    </row>
    <row r="36" spans="1:28">
      <c r="A36">
        <v>874961</v>
      </c>
      <c r="B36" s="2">
        <v>2019</v>
      </c>
      <c r="C36" s="5">
        <f>transportation!C36</f>
        <v>7803</v>
      </c>
      <c r="D36" s="5">
        <f>transportation!S36</f>
        <v>983104.63200000022</v>
      </c>
      <c r="E36" s="8">
        <f t="shared" si="19"/>
        <v>1.1235982312354496</v>
      </c>
      <c r="F36" s="8"/>
      <c r="G36" s="3">
        <f>electricity!D36</f>
        <v>5604</v>
      </c>
      <c r="H36" s="3">
        <f>electricity!M36</f>
        <v>462968.06266800006</v>
      </c>
      <c r="I36" s="3">
        <f>electricity!N36</f>
        <v>2471.7652893949016</v>
      </c>
      <c r="J36" s="3">
        <f>electricity!L36</f>
        <v>55265.606767981139</v>
      </c>
      <c r="K36" s="3">
        <f>J36+I36+H36</f>
        <v>520705.43472537608</v>
      </c>
      <c r="L36" s="8">
        <f t="shared" si="39"/>
        <v>0.59511845067994584</v>
      </c>
      <c r="M36" s="3"/>
      <c r="N36" s="3">
        <v>229478917</v>
      </c>
      <c r="O36" s="3">
        <f t="shared" si="40"/>
        <v>1216238.2601000001</v>
      </c>
      <c r="P36" s="10">
        <f t="shared" si="41"/>
        <v>1.3900485394206143</v>
      </c>
      <c r="Q36" s="10"/>
      <c r="R36" s="3">
        <v>713010</v>
      </c>
      <c r="S36" s="11">
        <f t="shared" si="42"/>
        <v>171122.4</v>
      </c>
      <c r="T36" s="8">
        <f t="shared" si="43"/>
        <v>0.19557717429691152</v>
      </c>
      <c r="U36" s="8"/>
      <c r="V36" s="10">
        <f t="shared" si="44"/>
        <v>2.8911707268253766</v>
      </c>
      <c r="X36" s="8">
        <f t="shared" si="45"/>
        <v>3.3043423956329212</v>
      </c>
      <c r="Z36" s="35">
        <f t="shared" si="46"/>
        <v>-0.10161397990876343</v>
      </c>
      <c r="AB36" s="35">
        <f>(V36-V31)/V31</f>
        <v>-0.17898572439045532</v>
      </c>
    </row>
    <row r="37" spans="1:28">
      <c r="A37" t="s">
        <v>9</v>
      </c>
      <c r="C37" s="3"/>
      <c r="D37" s="5"/>
      <c r="E37" s="8"/>
      <c r="F37" s="8"/>
      <c r="G37" s="3"/>
      <c r="H37" s="3"/>
      <c r="I37" s="3"/>
      <c r="J37" s="3"/>
      <c r="K37" s="3"/>
      <c r="M37" s="3"/>
      <c r="O37" s="3"/>
      <c r="P37" s="3"/>
      <c r="Q37" s="3"/>
      <c r="S37" s="3"/>
    </row>
    <row r="38" spans="1:28">
      <c r="A38">
        <v>757670</v>
      </c>
      <c r="B38" s="2">
        <v>2014</v>
      </c>
      <c r="C38" s="5">
        <v>19079.469289000001</v>
      </c>
      <c r="D38" s="5">
        <f>transportation!S38</f>
        <v>1874474.6390000002</v>
      </c>
      <c r="E38" s="8">
        <f t="shared" si="19"/>
        <v>2.4739987580345009</v>
      </c>
      <c r="F38" s="8"/>
      <c r="G38" s="3">
        <f>electricity!D38</f>
        <v>4452.3804469999995</v>
      </c>
      <c r="H38" s="3">
        <f>electricity!M38</f>
        <v>56783.384907785461</v>
      </c>
      <c r="I38" s="3">
        <f>electricity!N38</f>
        <v>852342.10710185976</v>
      </c>
      <c r="J38" s="3">
        <f>electricity!L38</f>
        <v>0</v>
      </c>
      <c r="K38" s="3">
        <f t="shared" ref="K38:K42" si="47">J38+I38+H38</f>
        <v>909125.49200964521</v>
      </c>
      <c r="L38" s="8">
        <f t="shared" ref="L38:L43" si="48">K38/A38</f>
        <v>1.1998963823427682</v>
      </c>
      <c r="M38" s="3"/>
      <c r="N38" s="3">
        <v>192730942</v>
      </c>
      <c r="O38" s="3">
        <f t="shared" ref="O38:O43" si="49">N38*0.0053</f>
        <v>1021473.9926</v>
      </c>
      <c r="P38" s="10">
        <f t="shared" ref="P38:P43" si="50">O38/A38</f>
        <v>1.3481779568941623</v>
      </c>
      <c r="Q38" s="10"/>
      <c r="R38" s="3">
        <v>550663.05000000005</v>
      </c>
      <c r="S38" s="11">
        <f t="shared" ref="S38:S43" si="51">R38*0.24</f>
        <v>132159.13200000001</v>
      </c>
      <c r="T38" s="8">
        <f t="shared" ref="T38:T43" si="52">S38/A38</f>
        <v>0.17442835535259416</v>
      </c>
      <c r="U38" s="8"/>
      <c r="V38" s="10">
        <f t="shared" ref="V38:V43" si="53">(D38+K38+O38+S38)/1000000</f>
        <v>3.9372332556096454</v>
      </c>
      <c r="X38" s="8">
        <f t="shared" ref="X38:X43" si="54">(V38/A38)*1000000</f>
        <v>5.196501452624025</v>
      </c>
    </row>
    <row r="39" spans="1:28">
      <c r="A39">
        <v>765447</v>
      </c>
      <c r="B39" s="2">
        <v>2015</v>
      </c>
      <c r="C39" s="5">
        <v>19531.746999999999</v>
      </c>
      <c r="D39" s="5">
        <f>transportation!S39</f>
        <v>2599577.6440000003</v>
      </c>
      <c r="E39" s="8">
        <f t="shared" si="19"/>
        <v>3.3961562903767346</v>
      </c>
      <c r="F39" s="8"/>
      <c r="G39" s="3">
        <f>electricity!D39</f>
        <v>4431.9333930000003</v>
      </c>
      <c r="H39" s="3">
        <f>electricity!M39</f>
        <v>62495.398271262653</v>
      </c>
      <c r="I39" s="3">
        <f>electricity!N39</f>
        <v>787351.91121490952</v>
      </c>
      <c r="J39" s="3">
        <f>electricity!L39</f>
        <v>0</v>
      </c>
      <c r="K39" s="3">
        <f t="shared" si="47"/>
        <v>849847.30948617216</v>
      </c>
      <c r="L39" s="8">
        <f t="shared" si="48"/>
        <v>1.1102627738905138</v>
      </c>
      <c r="M39" s="3"/>
      <c r="N39" s="3">
        <v>193900524</v>
      </c>
      <c r="O39" s="3">
        <f t="shared" si="49"/>
        <v>1027672.7772</v>
      </c>
      <c r="P39" s="10">
        <f t="shared" si="50"/>
        <v>1.3425786203355687</v>
      </c>
      <c r="Q39" s="10"/>
      <c r="R39" s="3">
        <v>583989.69999999995</v>
      </c>
      <c r="S39" s="11">
        <f t="shared" si="51"/>
        <v>140157.52799999999</v>
      </c>
      <c r="T39" s="8">
        <f t="shared" si="52"/>
        <v>0.18310546386621149</v>
      </c>
      <c r="U39" s="8"/>
      <c r="V39" s="10">
        <f t="shared" si="53"/>
        <v>4.617255258686173</v>
      </c>
      <c r="X39" s="8">
        <f t="shared" si="54"/>
        <v>6.0321031484690293</v>
      </c>
      <c r="Z39" s="35">
        <f t="shared" ref="Z39:Z43" si="55">(V39-V38)/V38</f>
        <v>0.17271570133866307</v>
      </c>
    </row>
    <row r="40" spans="1:28">
      <c r="A40">
        <v>768204</v>
      </c>
      <c r="B40" s="2">
        <v>2016</v>
      </c>
      <c r="C40" s="5">
        <v>18619.05</v>
      </c>
      <c r="D40" s="5">
        <f>transportation!S40</f>
        <v>2725045.4950000001</v>
      </c>
      <c r="E40" s="8">
        <f t="shared" si="19"/>
        <v>3.5472940716268075</v>
      </c>
      <c r="F40" s="8"/>
      <c r="G40" s="3">
        <f>electricity!D40</f>
        <v>4339.528523</v>
      </c>
      <c r="H40" s="3">
        <f>electricity!M40</f>
        <v>71738.524597545649</v>
      </c>
      <c r="I40" s="3">
        <f>electricity!N40</f>
        <v>519372.63696135097</v>
      </c>
      <c r="J40" s="3">
        <f>electricity!L40</f>
        <v>17862.847682119205</v>
      </c>
      <c r="K40" s="3">
        <f t="shared" si="47"/>
        <v>608974.00924101577</v>
      </c>
      <c r="L40" s="8">
        <f t="shared" si="48"/>
        <v>0.79272434046297047</v>
      </c>
      <c r="M40" s="3"/>
      <c r="N40" s="3">
        <v>199729292</v>
      </c>
      <c r="O40" s="3">
        <f t="shared" si="49"/>
        <v>1058565.2476000001</v>
      </c>
      <c r="P40" s="10">
        <f t="shared" si="50"/>
        <v>1.3779741417644273</v>
      </c>
      <c r="Q40" s="10"/>
      <c r="R40" s="3">
        <v>597070.92000000004</v>
      </c>
      <c r="S40" s="11">
        <f t="shared" si="51"/>
        <v>143297.0208</v>
      </c>
      <c r="T40" s="8">
        <f t="shared" si="52"/>
        <v>0.18653511411031445</v>
      </c>
      <c r="U40" s="8"/>
      <c r="V40" s="10">
        <f t="shared" si="53"/>
        <v>4.5358817726410159</v>
      </c>
      <c r="X40" s="8">
        <f t="shared" si="54"/>
        <v>5.9045276679645191</v>
      </c>
      <c r="Z40" s="35">
        <f t="shared" si="55"/>
        <v>-1.7623778952240935E-2</v>
      </c>
    </row>
    <row r="41" spans="1:28">
      <c r="A41">
        <v>768808</v>
      </c>
      <c r="B41" s="2">
        <v>2017</v>
      </c>
      <c r="C41" s="5">
        <v>18793.98899999999</v>
      </c>
      <c r="D41" s="5">
        <f>transportation!S41</f>
        <v>2755367.2420000001</v>
      </c>
      <c r="E41" s="8">
        <f t="shared" si="19"/>
        <v>3.5839471519547144</v>
      </c>
      <c r="F41" s="8"/>
      <c r="G41" s="3">
        <f>electricity!D41</f>
        <v>4354.0679680000003</v>
      </c>
      <c r="H41" s="3">
        <f>electricity!M41</f>
        <v>80155.023483727768</v>
      </c>
      <c r="I41" s="3">
        <f>electricity!N41</f>
        <v>124265.29252796106</v>
      </c>
      <c r="J41" s="3">
        <f>electricity!L41</f>
        <v>179036.12170008165</v>
      </c>
      <c r="K41" s="3">
        <f t="shared" si="47"/>
        <v>383456.43771177047</v>
      </c>
      <c r="L41" s="8">
        <f t="shared" si="48"/>
        <v>0.49876749163870626</v>
      </c>
      <c r="M41" s="3"/>
      <c r="N41" s="3">
        <v>211256396</v>
      </c>
      <c r="O41" s="3">
        <f t="shared" si="49"/>
        <v>1119658.8988000001</v>
      </c>
      <c r="P41" s="10">
        <f t="shared" si="50"/>
        <v>1.4563569822374378</v>
      </c>
      <c r="Q41" s="10"/>
      <c r="R41" s="3">
        <v>612396.85</v>
      </c>
      <c r="S41" s="11">
        <f t="shared" si="51"/>
        <v>146975.24399999998</v>
      </c>
      <c r="T41" s="8">
        <f t="shared" si="52"/>
        <v>0.19117288581804556</v>
      </c>
      <c r="U41" s="8"/>
      <c r="V41" s="10">
        <f t="shared" si="53"/>
        <v>4.4054578225117709</v>
      </c>
      <c r="X41" s="8">
        <f t="shared" si="54"/>
        <v>5.7302445116489045</v>
      </c>
      <c r="Z41" s="35">
        <f t="shared" si="55"/>
        <v>-2.8753824871697593E-2</v>
      </c>
    </row>
    <row r="42" spans="1:28">
      <c r="A42">
        <v>769545</v>
      </c>
      <c r="B42">
        <v>2018</v>
      </c>
      <c r="C42" s="5">
        <f>transportation!C42</f>
        <v>19288</v>
      </c>
      <c r="D42" s="5">
        <f>transportation!S42</f>
        <v>2572527.1</v>
      </c>
      <c r="E42" s="8">
        <f t="shared" si="19"/>
        <v>3.3429196473240683</v>
      </c>
      <c r="F42" s="8"/>
      <c r="G42" s="3">
        <f>electricity!D42</f>
        <v>4254.6401500000002</v>
      </c>
      <c r="H42" s="3">
        <f>electricity!M42</f>
        <v>89488.996498557433</v>
      </c>
      <c r="I42" s="3">
        <f>electricity!N42</f>
        <v>114330.06630411815</v>
      </c>
      <c r="J42" s="3">
        <f>electricity!L42</f>
        <v>168198.67549668875</v>
      </c>
      <c r="K42" s="3">
        <f t="shared" si="47"/>
        <v>372017.73829936434</v>
      </c>
      <c r="L42" s="8">
        <f t="shared" si="48"/>
        <v>0.48342558043956407</v>
      </c>
      <c r="M42" s="3"/>
      <c r="N42" s="3">
        <v>209664000</v>
      </c>
      <c r="O42" s="3">
        <f t="shared" si="49"/>
        <v>1111219.2</v>
      </c>
      <c r="P42" s="10">
        <f t="shared" si="50"/>
        <v>1.4439950880065493</v>
      </c>
      <c r="Q42" s="10"/>
      <c r="R42" s="3">
        <v>598840.14</v>
      </c>
      <c r="S42" s="11">
        <f t="shared" si="51"/>
        <v>143721.6336</v>
      </c>
      <c r="T42" s="8">
        <f t="shared" si="52"/>
        <v>0.18676183147184375</v>
      </c>
      <c r="U42" s="8"/>
      <c r="V42" s="10">
        <f t="shared" si="53"/>
        <v>4.1994856718993647</v>
      </c>
      <c r="X42" s="8">
        <f t="shared" si="54"/>
        <v>5.4571021472420265</v>
      </c>
      <c r="Z42" s="35">
        <f t="shared" si="55"/>
        <v>-4.6753858261880069E-2</v>
      </c>
    </row>
    <row r="43" spans="1:28">
      <c r="A43">
        <v>767423</v>
      </c>
      <c r="B43" s="2">
        <v>2019</v>
      </c>
      <c r="C43" s="5">
        <f>transportation!C43</f>
        <v>18529</v>
      </c>
      <c r="D43" s="5">
        <f>transportation!S43</f>
        <v>2722565.8480000002</v>
      </c>
      <c r="E43" s="8">
        <f t="shared" si="19"/>
        <v>3.5476729886907226</v>
      </c>
      <c r="F43" s="8"/>
      <c r="G43" s="3">
        <f>electricity!D43</f>
        <v>4325</v>
      </c>
      <c r="H43" s="3">
        <f>electricity!M43</f>
        <v>0</v>
      </c>
      <c r="I43" s="3">
        <f>electricity!N43</f>
        <v>702.13384060600538</v>
      </c>
      <c r="J43" s="3">
        <f>electricity!L43</f>
        <v>26481.385540901465</v>
      </c>
      <c r="K43" s="3">
        <f>J43+I43+H43</f>
        <v>27183.519381507471</v>
      </c>
      <c r="L43" s="8">
        <f t="shared" si="48"/>
        <v>3.542182001517738E-2</v>
      </c>
      <c r="M43" s="3"/>
      <c r="N43" s="3">
        <v>214429843</v>
      </c>
      <c r="O43" s="3">
        <f t="shared" si="49"/>
        <v>1136478.1679</v>
      </c>
      <c r="P43" s="10">
        <f t="shared" si="50"/>
        <v>1.4809018857917993</v>
      </c>
      <c r="Q43" s="10"/>
      <c r="R43" s="3">
        <v>623371</v>
      </c>
      <c r="S43" s="11">
        <f t="shared" si="51"/>
        <v>149609.04</v>
      </c>
      <c r="T43" s="8">
        <f t="shared" si="52"/>
        <v>0.19494990376884719</v>
      </c>
      <c r="U43" s="8"/>
      <c r="V43" s="10">
        <f t="shared" si="53"/>
        <v>4.0358365752815075</v>
      </c>
      <c r="X43" s="8">
        <f t="shared" si="54"/>
        <v>5.2589465982665455</v>
      </c>
      <c r="Z43" s="35">
        <f t="shared" si="55"/>
        <v>-3.8968842711598339E-2</v>
      </c>
      <c r="AB43" s="35">
        <f>(V43-V38)/V38</f>
        <v>2.5043809515571676E-2</v>
      </c>
    </row>
    <row r="44" spans="1:28">
      <c r="A44" t="s">
        <v>10</v>
      </c>
      <c r="C44" s="3"/>
      <c r="D44" s="5"/>
      <c r="E44" s="8"/>
      <c r="F44" s="8"/>
      <c r="G44" s="3"/>
      <c r="H44" s="3"/>
      <c r="I44" s="3"/>
      <c r="J44" s="3"/>
      <c r="K44" s="3"/>
      <c r="M44" s="3"/>
      <c r="O44" s="3"/>
      <c r="P44" s="3"/>
      <c r="Q44" s="3"/>
      <c r="S44" s="3"/>
    </row>
    <row r="45" spans="1:28">
      <c r="A45">
        <v>1892984</v>
      </c>
      <c r="B45" s="2">
        <v>2014</v>
      </c>
      <c r="C45" s="5">
        <v>42835.778263</v>
      </c>
      <c r="D45" s="5">
        <f>transportation!S45</f>
        <v>5578896.6510000005</v>
      </c>
      <c r="E45" s="8">
        <f t="shared" si="19"/>
        <v>2.9471441126813542</v>
      </c>
      <c r="F45" s="8"/>
      <c r="G45" s="3">
        <f>electricity!D45</f>
        <v>16672.447011</v>
      </c>
      <c r="H45" s="3">
        <f>electricity!M45</f>
        <v>2091987.1854571579</v>
      </c>
      <c r="I45" s="3">
        <f>electricity!N45</f>
        <v>2325280.1055250196</v>
      </c>
      <c r="J45" s="3">
        <f>electricity!L45</f>
        <v>0</v>
      </c>
      <c r="K45" s="3">
        <f t="shared" ref="K45:K49" si="56">J45+I45+H45</f>
        <v>4417267.2909821775</v>
      </c>
      <c r="L45" s="8">
        <f t="shared" ref="L45:L50" si="57">K45/A45</f>
        <v>2.3334942561491157</v>
      </c>
      <c r="M45" s="3"/>
      <c r="N45" s="3">
        <v>403868406</v>
      </c>
      <c r="O45" s="3">
        <f t="shared" ref="O45:O50" si="58">N45*0.0053</f>
        <v>2140502.5518</v>
      </c>
      <c r="P45" s="10">
        <f t="shared" ref="P45:P50" si="59">O45/A45</f>
        <v>1.1307557548294123</v>
      </c>
      <c r="Q45" s="10"/>
      <c r="R45" s="3">
        <v>1244464.3700000001</v>
      </c>
      <c r="S45" s="11">
        <f t="shared" ref="S45:S50" si="60">R45*0.24</f>
        <v>298671.44880000001</v>
      </c>
      <c r="T45" s="8">
        <f t="shared" ref="T45:T50" si="61">S45/A45</f>
        <v>0.15777811582136986</v>
      </c>
      <c r="U45" s="8"/>
      <c r="V45" s="10">
        <f t="shared" ref="V45:V50" si="62">(D45+K45+O45+S45)/1000000</f>
        <v>12.435337942582176</v>
      </c>
      <c r="X45" s="8">
        <f t="shared" ref="X45:X50" si="63">(V45/A45)*1000000</f>
        <v>6.5691722394812508</v>
      </c>
    </row>
    <row r="46" spans="1:28">
      <c r="A46">
        <v>1917481</v>
      </c>
      <c r="B46" s="2">
        <v>2015</v>
      </c>
      <c r="C46" s="5">
        <v>42893.769</v>
      </c>
      <c r="D46" s="5">
        <f>transportation!S46</f>
        <v>6231021.0219999999</v>
      </c>
      <c r="E46" s="8">
        <f t="shared" si="19"/>
        <v>3.2495868391916267</v>
      </c>
      <c r="F46" s="8"/>
      <c r="G46" s="3">
        <f>electricity!D46</f>
        <v>16807.201679999998</v>
      </c>
      <c r="H46" s="3">
        <f>electricity!M46</f>
        <v>2140458.960927377</v>
      </c>
      <c r="I46" s="3">
        <f>electricity!N46</f>
        <v>2168866.1812849385</v>
      </c>
      <c r="J46" s="3">
        <f>electricity!L46</f>
        <v>0</v>
      </c>
      <c r="K46" s="3">
        <f t="shared" si="56"/>
        <v>4309325.1422123155</v>
      </c>
      <c r="L46" s="8">
        <f t="shared" si="57"/>
        <v>2.247388705396463</v>
      </c>
      <c r="M46" s="3"/>
      <c r="N46" s="3">
        <v>412025150</v>
      </c>
      <c r="O46" s="3">
        <f t="shared" si="58"/>
        <v>2183733.2949999999</v>
      </c>
      <c r="P46" s="10">
        <f t="shared" si="59"/>
        <v>1.1388552455017806</v>
      </c>
      <c r="Q46" s="10"/>
      <c r="R46" s="3">
        <v>1335115.8799999999</v>
      </c>
      <c r="S46" s="11">
        <f t="shared" si="60"/>
        <v>320427.81119999994</v>
      </c>
      <c r="T46" s="8">
        <f t="shared" si="61"/>
        <v>0.16710872816992708</v>
      </c>
      <c r="U46" s="8"/>
      <c r="V46" s="10">
        <f t="shared" si="62"/>
        <v>13.044507270412316</v>
      </c>
      <c r="X46" s="8">
        <f t="shared" si="63"/>
        <v>6.802939518259798</v>
      </c>
      <c r="Z46" s="35">
        <f t="shared" ref="Z46:Z50" si="64">(V46-V45)/V45</f>
        <v>4.8986954005018908E-2</v>
      </c>
    </row>
    <row r="47" spans="1:28">
      <c r="A47">
        <v>1929581</v>
      </c>
      <c r="B47" s="2">
        <v>2016</v>
      </c>
      <c r="C47" s="5">
        <v>41987.389000000003</v>
      </c>
      <c r="D47" s="5">
        <f>transportation!S47</f>
        <v>6039162.3990000002</v>
      </c>
      <c r="E47" s="8">
        <f t="shared" si="19"/>
        <v>3.1297791587914685</v>
      </c>
      <c r="F47" s="8"/>
      <c r="G47" s="3">
        <f>electricity!D47</f>
        <v>16824.436062000001</v>
      </c>
      <c r="H47" s="3">
        <f>electricity!M47</f>
        <v>2248472.320725739</v>
      </c>
      <c r="I47" s="3">
        <f>electricity!N47</f>
        <v>1543079.3984076381</v>
      </c>
      <c r="J47" s="3">
        <f>electricity!L47</f>
        <v>0</v>
      </c>
      <c r="K47" s="3">
        <f t="shared" si="56"/>
        <v>3791551.7191333771</v>
      </c>
      <c r="L47" s="8">
        <f t="shared" si="57"/>
        <v>1.9649611595125456</v>
      </c>
      <c r="M47" s="3"/>
      <c r="N47" s="3">
        <v>421906168</v>
      </c>
      <c r="O47" s="3">
        <f t="shared" si="58"/>
        <v>2236102.6904000002</v>
      </c>
      <c r="P47" s="10">
        <f t="shared" si="59"/>
        <v>1.1588540156645408</v>
      </c>
      <c r="Q47" s="10"/>
      <c r="R47" s="3">
        <v>1366218.25</v>
      </c>
      <c r="S47" s="11">
        <f t="shared" si="60"/>
        <v>327892.38</v>
      </c>
      <c r="T47" s="8">
        <f t="shared" si="61"/>
        <v>0.16992931626088773</v>
      </c>
      <c r="U47" s="8"/>
      <c r="V47" s="10">
        <f t="shared" si="62"/>
        <v>12.394709188533378</v>
      </c>
      <c r="X47" s="8">
        <f t="shared" si="63"/>
        <v>6.4235236502294422</v>
      </c>
      <c r="Z47" s="35">
        <f t="shared" si="64"/>
        <v>-4.9813923087215148E-2</v>
      </c>
    </row>
    <row r="48" spans="1:28">
      <c r="A48">
        <v>1933383</v>
      </c>
      <c r="B48" s="2">
        <v>2017</v>
      </c>
      <c r="C48" s="5">
        <v>41525.239000000001</v>
      </c>
      <c r="D48" s="5">
        <f>transportation!S48</f>
        <v>5792033.335</v>
      </c>
      <c r="E48" s="8">
        <f t="shared" si="19"/>
        <v>2.9958023500775584</v>
      </c>
      <c r="F48" s="8"/>
      <c r="G48" s="3">
        <f>electricity!D48</f>
        <v>17024.523800999999</v>
      </c>
      <c r="H48" s="3">
        <f>electricity!M48</f>
        <v>2327889.0664021429</v>
      </c>
      <c r="I48" s="3">
        <f>electricity!N48</f>
        <v>913157.61933780555</v>
      </c>
      <c r="J48" s="3">
        <f>electricity!L48</f>
        <v>3627.1704617617711</v>
      </c>
      <c r="K48" s="3">
        <f t="shared" si="56"/>
        <v>3244673.8562017102</v>
      </c>
      <c r="L48" s="8">
        <f t="shared" si="57"/>
        <v>1.6782364674778407</v>
      </c>
      <c r="M48" s="3"/>
      <c r="N48" s="3">
        <v>444925698</v>
      </c>
      <c r="O48" s="3">
        <f t="shared" si="58"/>
        <v>2358106.1993999998</v>
      </c>
      <c r="P48" s="10">
        <f t="shared" si="59"/>
        <v>1.2196787700109082</v>
      </c>
      <c r="Q48" s="10"/>
      <c r="R48" s="3">
        <v>1475585.74</v>
      </c>
      <c r="S48" s="11">
        <f t="shared" si="60"/>
        <v>354140.57759999996</v>
      </c>
      <c r="T48" s="8">
        <f t="shared" si="61"/>
        <v>0.18317145521606426</v>
      </c>
      <c r="U48" s="8"/>
      <c r="V48" s="10">
        <f t="shared" si="62"/>
        <v>11.748953968201709</v>
      </c>
      <c r="X48" s="8">
        <f t="shared" si="63"/>
        <v>6.076889042782371</v>
      </c>
      <c r="Z48" s="35">
        <f t="shared" si="64"/>
        <v>-5.2099263525204068E-2</v>
      </c>
    </row>
    <row r="49" spans="1:28">
      <c r="A49">
        <v>1937570</v>
      </c>
      <c r="B49">
        <v>2018</v>
      </c>
      <c r="C49" s="5">
        <f>transportation!C49</f>
        <v>42119</v>
      </c>
      <c r="D49" s="5">
        <f>transportation!S49</f>
        <v>5541148.5</v>
      </c>
      <c r="E49" s="8">
        <f t="shared" si="19"/>
        <v>2.8598442894966376</v>
      </c>
      <c r="F49" s="8"/>
      <c r="G49" s="3">
        <f>electricity!D49</f>
        <v>16708.080341000001</v>
      </c>
      <c r="H49" s="3">
        <f>electricity!M49</f>
        <v>2349943.2111709705</v>
      </c>
      <c r="I49" s="3">
        <f>electricity!N49</f>
        <v>702114.7186936111</v>
      </c>
      <c r="J49" s="3">
        <f>electricity!L49</f>
        <v>8399.6371223804781</v>
      </c>
      <c r="K49" s="3">
        <f t="shared" si="56"/>
        <v>3060457.5669869622</v>
      </c>
      <c r="L49" s="8">
        <f t="shared" si="57"/>
        <v>1.5795339352833508</v>
      </c>
      <c r="M49" s="3"/>
      <c r="N49" s="3">
        <v>440030824</v>
      </c>
      <c r="O49" s="3">
        <f t="shared" si="58"/>
        <v>2332163.3672000002</v>
      </c>
      <c r="P49" s="10">
        <f t="shared" si="59"/>
        <v>1.2036537349360281</v>
      </c>
      <c r="Q49" s="10"/>
      <c r="R49" s="3">
        <v>1513136.01</v>
      </c>
      <c r="S49" s="11">
        <f t="shared" si="60"/>
        <v>363152.64240000001</v>
      </c>
      <c r="T49" s="8">
        <f t="shared" si="61"/>
        <v>0.18742685033314926</v>
      </c>
      <c r="U49" s="8"/>
      <c r="V49" s="10">
        <f t="shared" si="62"/>
        <v>11.296922076586963</v>
      </c>
      <c r="X49" s="8">
        <f t="shared" si="63"/>
        <v>5.8304588100491657</v>
      </c>
      <c r="Z49" s="35">
        <f t="shared" si="64"/>
        <v>-3.8474224415055241E-2</v>
      </c>
    </row>
    <row r="50" spans="1:28">
      <c r="A50">
        <v>1927852</v>
      </c>
      <c r="B50" s="2">
        <v>2019</v>
      </c>
      <c r="C50" s="5">
        <f>transportation!C50</f>
        <v>39977</v>
      </c>
      <c r="D50" s="5">
        <f>transportation!S50</f>
        <v>6028007.1220000014</v>
      </c>
      <c r="E50" s="8">
        <f t="shared" si="19"/>
        <v>3.1267997346269327</v>
      </c>
      <c r="F50" s="8"/>
      <c r="G50" s="3">
        <f>electricity!D50</f>
        <v>16664</v>
      </c>
      <c r="H50" s="3">
        <f>electricity!M50</f>
        <v>2400363.4304159996</v>
      </c>
      <c r="I50" s="3">
        <f>electricity!N50</f>
        <v>4924.6528549396717</v>
      </c>
      <c r="J50" s="3">
        <f>electricity!L50</f>
        <v>7436.7209999999995</v>
      </c>
      <c r="K50" s="3">
        <f>J50+I50+H50</f>
        <v>2412724.8042709394</v>
      </c>
      <c r="L50" s="8">
        <f t="shared" si="57"/>
        <v>1.2515093504433636</v>
      </c>
      <c r="M50" s="3"/>
      <c r="N50" s="3">
        <v>459720764</v>
      </c>
      <c r="O50" s="3">
        <f t="shared" si="58"/>
        <v>2436520.0492000002</v>
      </c>
      <c r="P50" s="10">
        <f t="shared" si="59"/>
        <v>1.2638522299429626</v>
      </c>
      <c r="Q50" s="10"/>
      <c r="R50" s="3">
        <v>1452222</v>
      </c>
      <c r="S50" s="11">
        <f t="shared" si="60"/>
        <v>348533.27999999997</v>
      </c>
      <c r="T50" s="8">
        <f t="shared" si="61"/>
        <v>0.18078840076935365</v>
      </c>
      <c r="U50" s="8"/>
      <c r="V50" s="10">
        <f t="shared" si="62"/>
        <v>11.225785255470941</v>
      </c>
      <c r="X50" s="8">
        <f t="shared" si="63"/>
        <v>5.8229497157826122</v>
      </c>
      <c r="Z50" s="35">
        <f t="shared" si="64"/>
        <v>-6.2970090998020149E-3</v>
      </c>
      <c r="AB50" s="35">
        <f>(V50-V45)/V45</f>
        <v>-9.7267375659279773E-2</v>
      </c>
    </row>
    <row r="51" spans="1:28">
      <c r="A51" t="s">
        <v>11</v>
      </c>
      <c r="C51" s="3"/>
      <c r="D51" s="5"/>
      <c r="E51" s="8"/>
      <c r="F51" s="8"/>
      <c r="G51" s="3"/>
      <c r="H51" s="3"/>
      <c r="I51" s="3"/>
      <c r="J51" s="3"/>
      <c r="K51" s="3"/>
      <c r="M51" s="3"/>
      <c r="O51" s="3"/>
      <c r="P51" s="3"/>
      <c r="Q51" s="3"/>
      <c r="S51" s="3"/>
    </row>
    <row r="52" spans="1:28">
      <c r="A52">
        <v>429155</v>
      </c>
      <c r="B52" s="2">
        <v>2014</v>
      </c>
      <c r="C52" s="5">
        <v>12741.0705645</v>
      </c>
      <c r="D52" s="5">
        <f>transportation!S52</f>
        <v>1430028.4970000002</v>
      </c>
      <c r="E52" s="8">
        <f t="shared" si="19"/>
        <v>3.3321958196921861</v>
      </c>
      <c r="F52" s="8"/>
      <c r="G52" s="3">
        <f>electricity!D52</f>
        <v>3216</v>
      </c>
      <c r="H52" s="3">
        <f>electricity!M52</f>
        <v>267726.54482376517</v>
      </c>
      <c r="I52" s="3">
        <f>electricity!N52</f>
        <v>511137.9615367339</v>
      </c>
      <c r="J52" s="3">
        <f>electricity!L52</f>
        <v>0</v>
      </c>
      <c r="K52" s="3">
        <f t="shared" ref="K52:K56" si="65">J52+I52+H52</f>
        <v>778864.50636049907</v>
      </c>
      <c r="L52" s="8">
        <f t="shared" ref="L52:L57" si="66">K52/A52</f>
        <v>1.8148792542566183</v>
      </c>
      <c r="M52" s="3"/>
      <c r="N52" s="3">
        <v>229465208</v>
      </c>
      <c r="O52" s="3">
        <f t="shared" ref="O52:O57" si="67">N52*0.0053</f>
        <v>1216165.6024</v>
      </c>
      <c r="P52" s="10">
        <f t="shared" ref="P52:P57" si="68">O52/A52</f>
        <v>2.8338609649194346</v>
      </c>
      <c r="Q52" s="10"/>
      <c r="R52" s="3">
        <v>331940.8</v>
      </c>
      <c r="S52" s="11">
        <f t="shared" ref="S52:S57" si="69">R52*0.24</f>
        <v>79665.792000000001</v>
      </c>
      <c r="T52" s="8">
        <f t="shared" ref="T52:T57" si="70">S52/A52</f>
        <v>0.18563407626615092</v>
      </c>
      <c r="U52" s="8"/>
      <c r="V52" s="10">
        <f t="shared" ref="V52:V57" si="71">(D52+K52+O52+S52)/1000000</f>
        <v>3.5047243977604987</v>
      </c>
      <c r="X52" s="8">
        <f t="shared" ref="X52:X57" si="72">(V52/A52)*1000000</f>
        <v>8.1665701151343892</v>
      </c>
    </row>
    <row r="53" spans="1:28">
      <c r="A53">
        <v>433708</v>
      </c>
      <c r="B53" s="2">
        <v>2015</v>
      </c>
      <c r="C53" s="5">
        <v>13153.966999999999</v>
      </c>
      <c r="D53" s="5">
        <f>transportation!S53</f>
        <v>1768452.0060000001</v>
      </c>
      <c r="E53" s="8">
        <f t="shared" si="19"/>
        <v>4.0775176063157703</v>
      </c>
      <c r="F53" s="8"/>
      <c r="G53" s="3">
        <f>electricity!D53</f>
        <v>3209</v>
      </c>
      <c r="H53" s="3">
        <f>electricity!M53</f>
        <v>260727.9690453331</v>
      </c>
      <c r="I53" s="3">
        <f>electricity!N53</f>
        <v>463792.67453244718</v>
      </c>
      <c r="J53" s="3">
        <f>electricity!L53</f>
        <v>11015.803041126701</v>
      </c>
      <c r="K53" s="3">
        <f t="shared" si="65"/>
        <v>735536.44661890692</v>
      </c>
      <c r="L53" s="8">
        <f t="shared" si="66"/>
        <v>1.6959254766315284</v>
      </c>
      <c r="M53" s="3"/>
      <c r="N53" s="3">
        <v>222190118</v>
      </c>
      <c r="O53" s="3">
        <f t="shared" si="67"/>
        <v>1177607.6254</v>
      </c>
      <c r="P53" s="10">
        <f t="shared" si="68"/>
        <v>2.7152084476191356</v>
      </c>
      <c r="Q53" s="10"/>
      <c r="R53" s="3">
        <v>351731.47</v>
      </c>
      <c r="S53" s="11">
        <f t="shared" si="69"/>
        <v>84415.55279999999</v>
      </c>
      <c r="T53" s="8">
        <f t="shared" si="70"/>
        <v>0.19463683584347069</v>
      </c>
      <c r="U53" s="8"/>
      <c r="V53" s="10">
        <f t="shared" si="71"/>
        <v>3.7660116308189076</v>
      </c>
      <c r="X53" s="8">
        <f t="shared" si="72"/>
        <v>8.6832883664099061</v>
      </c>
      <c r="Z53" s="35">
        <f t="shared" ref="Z53:Z57" si="73">(V53-V52)/V52</f>
        <v>7.4552861624546024E-2</v>
      </c>
    </row>
    <row r="54" spans="1:28">
      <c r="A54">
        <v>439300</v>
      </c>
      <c r="B54" s="2">
        <v>2016</v>
      </c>
      <c r="C54" s="5">
        <v>13618.768</v>
      </c>
      <c r="D54" s="5">
        <f>transportation!S54</f>
        <v>1848043.8900000001</v>
      </c>
      <c r="E54" s="8">
        <f t="shared" si="19"/>
        <v>4.2067923742317328</v>
      </c>
      <c r="F54" s="8"/>
      <c r="G54" s="3">
        <f>electricity!D54</f>
        <v>3211</v>
      </c>
      <c r="H54" s="3">
        <f>electricity!M54</f>
        <v>257820.95402007911</v>
      </c>
      <c r="I54" s="3">
        <f>electricity!N54</f>
        <v>331878.86642542615</v>
      </c>
      <c r="J54" s="3">
        <f>electricity!L54</f>
        <v>15183.217851289626</v>
      </c>
      <c r="K54" s="3">
        <f t="shared" si="65"/>
        <v>604883.03829679487</v>
      </c>
      <c r="L54" s="8">
        <f t="shared" si="66"/>
        <v>1.3769247400336784</v>
      </c>
      <c r="M54" s="3"/>
      <c r="N54" s="3">
        <v>253714571</v>
      </c>
      <c r="O54" s="3">
        <f t="shared" si="67"/>
        <v>1344687.2263</v>
      </c>
      <c r="P54" s="10">
        <f t="shared" si="68"/>
        <v>3.0609770687457316</v>
      </c>
      <c r="Q54" s="10"/>
      <c r="R54" s="3">
        <v>430608.57</v>
      </c>
      <c r="S54" s="11">
        <f t="shared" si="69"/>
        <v>103346.05679999999</v>
      </c>
      <c r="T54" s="8">
        <f t="shared" si="70"/>
        <v>0.23525166583200544</v>
      </c>
      <c r="U54" s="8"/>
      <c r="V54" s="10">
        <f t="shared" si="71"/>
        <v>3.9009602113967952</v>
      </c>
      <c r="X54" s="8">
        <f t="shared" si="72"/>
        <v>8.8799458488431497</v>
      </c>
      <c r="Z54" s="35">
        <f t="shared" si="73"/>
        <v>3.5833288318481232E-2</v>
      </c>
    </row>
    <row r="55" spans="1:28">
      <c r="A55">
        <v>443877</v>
      </c>
      <c r="B55" s="2">
        <v>2017</v>
      </c>
      <c r="C55" s="5">
        <v>13631.51</v>
      </c>
      <c r="D55" s="5">
        <f>transportation!S55</f>
        <v>1942299.7389999998</v>
      </c>
      <c r="E55" s="8">
        <f t="shared" si="19"/>
        <v>4.3757611658184583</v>
      </c>
      <c r="F55" s="8"/>
      <c r="G55" s="3">
        <f>electricity!D55</f>
        <v>3217</v>
      </c>
      <c r="H55" s="3">
        <f>electricity!M55</f>
        <v>281305.52858657989</v>
      </c>
      <c r="I55" s="3">
        <f>electricity!N55</f>
        <v>232569.57178476139</v>
      </c>
      <c r="J55" s="3">
        <f>electricity!L55</f>
        <v>5844.3785733782051</v>
      </c>
      <c r="K55" s="3">
        <f t="shared" si="65"/>
        <v>519719.47894471948</v>
      </c>
      <c r="L55" s="8">
        <f t="shared" si="66"/>
        <v>1.1708637278902025</v>
      </c>
      <c r="M55" s="3"/>
      <c r="N55" s="3">
        <v>228487698</v>
      </c>
      <c r="O55" s="3">
        <f t="shared" si="67"/>
        <v>1210984.7993999999</v>
      </c>
      <c r="P55" s="10">
        <f t="shared" si="68"/>
        <v>2.7281990267574123</v>
      </c>
      <c r="Q55" s="10"/>
      <c r="R55" s="3">
        <v>472685.59</v>
      </c>
      <c r="S55" s="11">
        <f t="shared" si="69"/>
        <v>113444.5416</v>
      </c>
      <c r="T55" s="8">
        <f t="shared" si="70"/>
        <v>0.25557652592948044</v>
      </c>
      <c r="U55" s="8"/>
      <c r="V55" s="10">
        <f t="shared" si="71"/>
        <v>3.7864485589447194</v>
      </c>
      <c r="X55" s="8">
        <f t="shared" si="72"/>
        <v>8.5304004463955536</v>
      </c>
      <c r="Z55" s="35">
        <f t="shared" si="73"/>
        <v>-2.9354734795173205E-2</v>
      </c>
    </row>
    <row r="56" spans="1:28">
      <c r="A56">
        <v>446610</v>
      </c>
      <c r="B56" s="2">
        <v>2018</v>
      </c>
      <c r="C56" s="5">
        <f>transportation!C56</f>
        <v>14277</v>
      </c>
      <c r="D56" s="5">
        <f>transportation!S56</f>
        <v>1935050.3</v>
      </c>
      <c r="E56" s="8">
        <f t="shared" si="19"/>
        <v>4.3327518416515529</v>
      </c>
      <c r="F56" s="8"/>
      <c r="G56" s="3">
        <f>electricity!D56</f>
        <v>3268</v>
      </c>
      <c r="H56" s="3">
        <f>electricity!M56</f>
        <v>328786.25714179792</v>
      </c>
      <c r="I56" s="3">
        <f>electricity!N56</f>
        <v>223390.56804592031</v>
      </c>
      <c r="J56" s="3">
        <f>electricity!L56</f>
        <v>6037.1884406558265</v>
      </c>
      <c r="K56" s="3">
        <f t="shared" si="65"/>
        <v>558214.01362837409</v>
      </c>
      <c r="L56" s="8">
        <f t="shared" si="66"/>
        <v>1.2498914346485168</v>
      </c>
      <c r="M56" s="3"/>
      <c r="N56" s="3">
        <v>242027462</v>
      </c>
      <c r="O56" s="3">
        <f t="shared" si="67"/>
        <v>1282745.5486000001</v>
      </c>
      <c r="P56" s="10">
        <f t="shared" si="68"/>
        <v>2.8721827737847341</v>
      </c>
      <c r="Q56" s="10"/>
      <c r="R56" s="3">
        <v>442008.48</v>
      </c>
      <c r="S56" s="11">
        <f t="shared" si="69"/>
        <v>106082.0352</v>
      </c>
      <c r="T56" s="8">
        <f t="shared" si="70"/>
        <v>0.23752722778262914</v>
      </c>
      <c r="U56" s="8"/>
      <c r="V56" s="10">
        <f t="shared" si="71"/>
        <v>3.8820918974283738</v>
      </c>
      <c r="X56" s="8">
        <f t="shared" si="72"/>
        <v>8.6923532778674311</v>
      </c>
      <c r="Z56" s="35">
        <f t="shared" si="73"/>
        <v>2.5259378807013316E-2</v>
      </c>
    </row>
    <row r="57" spans="1:28">
      <c r="A57">
        <v>447643</v>
      </c>
      <c r="B57" s="2">
        <v>2019</v>
      </c>
      <c r="C57" s="5">
        <f>transportation!C57</f>
        <v>13840</v>
      </c>
      <c r="D57" s="5">
        <f>transportation!S57</f>
        <v>1932394.6440000001</v>
      </c>
      <c r="E57" s="8">
        <f t="shared" si="19"/>
        <v>4.3168208684152329</v>
      </c>
      <c r="F57" s="8"/>
      <c r="G57" s="3">
        <f>electricity!D57</f>
        <v>3227</v>
      </c>
      <c r="H57" s="3">
        <f>electricity!M57</f>
        <v>336439.46912799997</v>
      </c>
      <c r="I57" s="3">
        <f>electricity!N57</f>
        <v>3167.8488085182312</v>
      </c>
      <c r="J57" s="3">
        <f>electricity!L57</f>
        <v>4663.5118124836636</v>
      </c>
      <c r="K57" s="3">
        <f>J57+I57+H57</f>
        <v>344270.82974900189</v>
      </c>
      <c r="L57" s="8">
        <f t="shared" si="66"/>
        <v>0.76907452981282376</v>
      </c>
      <c r="M57" s="3"/>
      <c r="N57" s="3">
        <v>236122955</v>
      </c>
      <c r="O57" s="3">
        <f t="shared" si="67"/>
        <v>1251451.6614999999</v>
      </c>
      <c r="P57" s="10">
        <f t="shared" si="68"/>
        <v>2.7956466682155199</v>
      </c>
      <c r="Q57" s="10"/>
      <c r="R57" s="3">
        <v>437553</v>
      </c>
      <c r="S57" s="11">
        <f t="shared" si="69"/>
        <v>105012.72</v>
      </c>
      <c r="T57" s="8">
        <f t="shared" si="70"/>
        <v>0.23459033202797766</v>
      </c>
      <c r="U57" s="8"/>
      <c r="V57" s="10">
        <f t="shared" si="71"/>
        <v>3.6331298552490021</v>
      </c>
      <c r="X57" s="8">
        <f t="shared" si="72"/>
        <v>8.1161323984715548</v>
      </c>
      <c r="Z57" s="35">
        <f t="shared" si="73"/>
        <v>-6.4130898690031621E-2</v>
      </c>
      <c r="AB57" s="35">
        <f>(V57-V52)/V52</f>
        <v>3.6637818816952869E-2</v>
      </c>
    </row>
    <row r="58" spans="1:28">
      <c r="A58" t="s">
        <v>12</v>
      </c>
      <c r="C58" s="3"/>
      <c r="D58" s="5"/>
      <c r="E58" s="8"/>
      <c r="F58" s="8"/>
      <c r="G58" s="3"/>
      <c r="H58" s="3"/>
      <c r="I58" s="3"/>
      <c r="J58" s="3"/>
      <c r="K58" s="3"/>
      <c r="M58" s="3"/>
      <c r="O58" s="3"/>
      <c r="P58" s="3"/>
      <c r="Q58" s="3"/>
      <c r="S58" s="3"/>
    </row>
    <row r="59" spans="1:28">
      <c r="A59">
        <v>498803</v>
      </c>
      <c r="B59" s="2">
        <v>2014</v>
      </c>
      <c r="C59" s="5">
        <v>11461.96881</v>
      </c>
      <c r="D59" s="5">
        <f>transportation!S59</f>
        <v>1828390.2100000002</v>
      </c>
      <c r="E59" s="8">
        <f t="shared" si="19"/>
        <v>3.6655557604906148</v>
      </c>
      <c r="F59" s="8"/>
      <c r="G59" s="3">
        <f>electricity!D59</f>
        <v>2939</v>
      </c>
      <c r="H59" s="3">
        <f>electricity!M59</f>
        <v>88719.26400000001</v>
      </c>
      <c r="I59" s="3">
        <f>electricity!N59</f>
        <v>539006.94910641375</v>
      </c>
      <c r="J59" s="3">
        <f>electricity!L59</f>
        <v>0</v>
      </c>
      <c r="K59" s="3">
        <f t="shared" ref="K59:K63" si="74">J59+I59+H59</f>
        <v>627726.21310641372</v>
      </c>
      <c r="L59" s="8">
        <f t="shared" ref="L59:L64" si="75">K59/A59</f>
        <v>1.2584651918821934</v>
      </c>
      <c r="M59" s="3"/>
      <c r="N59" s="3">
        <v>102106560</v>
      </c>
      <c r="O59" s="3">
        <f t="shared" ref="O59:O64" si="76">N59*0.0053</f>
        <v>541164.76800000004</v>
      </c>
      <c r="P59" s="10">
        <f t="shared" ref="P59:P64" si="77">O59/A59</f>
        <v>1.0849268508810093</v>
      </c>
      <c r="Q59" s="10"/>
      <c r="R59" s="3">
        <v>326267.14</v>
      </c>
      <c r="S59" s="11">
        <f t="shared" ref="S59:S64" si="78">R59*0.24</f>
        <v>78304.113599999997</v>
      </c>
      <c r="T59" s="8">
        <f t="shared" ref="T59:T64" si="79">S59/A59</f>
        <v>0.15698404700853844</v>
      </c>
      <c r="U59" s="8"/>
      <c r="V59" s="10">
        <f t="shared" ref="V59:V64" si="80">(D59+K59+O59+S59)/1000000</f>
        <v>3.0755853047064137</v>
      </c>
      <c r="X59" s="8">
        <f t="shared" ref="X59:X64" si="81">(V59/A59)*1000000</f>
        <v>6.1659318502623552</v>
      </c>
    </row>
    <row r="60" spans="1:28">
      <c r="A60">
        <v>501346</v>
      </c>
      <c r="B60" s="2">
        <v>2015</v>
      </c>
      <c r="C60" s="5">
        <v>11448.568999999992</v>
      </c>
      <c r="D60" s="5">
        <f>transportation!S60</f>
        <v>1786714.926</v>
      </c>
      <c r="E60" s="8">
        <f t="shared" si="19"/>
        <v>3.5638360054732661</v>
      </c>
      <c r="F60" s="8"/>
      <c r="G60" s="3">
        <f>electricity!D60</f>
        <v>2933</v>
      </c>
      <c r="H60" s="3">
        <f>electricity!M60</f>
        <v>98200.935793953686</v>
      </c>
      <c r="I60" s="3">
        <f>electricity!N60</f>
        <v>176093.72099146215</v>
      </c>
      <c r="J60" s="3">
        <f>electricity!L60</f>
        <v>172552.84405334303</v>
      </c>
      <c r="K60" s="3">
        <f t="shared" si="74"/>
        <v>446847.50083875889</v>
      </c>
      <c r="L60" s="8">
        <f t="shared" si="75"/>
        <v>0.89129563383124411</v>
      </c>
      <c r="M60" s="3"/>
      <c r="N60" s="3">
        <v>101437977</v>
      </c>
      <c r="O60" s="3">
        <f t="shared" si="76"/>
        <v>537621.2781</v>
      </c>
      <c r="P60" s="10">
        <f t="shared" si="77"/>
        <v>1.0723557744551666</v>
      </c>
      <c r="Q60" s="10"/>
      <c r="R60" s="3">
        <v>388362.5</v>
      </c>
      <c r="S60" s="11">
        <f t="shared" si="78"/>
        <v>93207</v>
      </c>
      <c r="T60" s="8">
        <f t="shared" si="79"/>
        <v>0.18591352080200102</v>
      </c>
      <c r="U60" s="8"/>
      <c r="V60" s="10">
        <f t="shared" si="80"/>
        <v>2.8643907049387591</v>
      </c>
      <c r="X60" s="8">
        <f t="shared" si="81"/>
        <v>5.7134009345616779</v>
      </c>
      <c r="Z60" s="35">
        <f t="shared" ref="Z60:Z64" si="82">(V60-V59)/V59</f>
        <v>-6.8668100164373275E-2</v>
      </c>
    </row>
    <row r="61" spans="1:28">
      <c r="A61">
        <v>503249</v>
      </c>
      <c r="B61" s="2">
        <v>2016</v>
      </c>
      <c r="C61" s="5">
        <v>11950.932999999999</v>
      </c>
      <c r="D61" s="5">
        <f>transportation!S61</f>
        <v>1875096.6230000001</v>
      </c>
      <c r="E61" s="8">
        <f t="shared" si="19"/>
        <v>3.7259818161586016</v>
      </c>
      <c r="F61" s="8"/>
      <c r="G61" s="3">
        <f>electricity!D61</f>
        <v>2951</v>
      </c>
      <c r="H61" s="3">
        <f>electricity!M61</f>
        <v>105374.56251476362</v>
      </c>
      <c r="I61" s="3">
        <f>electricity!N61</f>
        <v>69088.766594083543</v>
      </c>
      <c r="J61" s="3">
        <f>electricity!L61</f>
        <v>96808.698902295204</v>
      </c>
      <c r="K61" s="3">
        <f t="shared" si="74"/>
        <v>271272.02801114239</v>
      </c>
      <c r="L61" s="8">
        <f t="shared" si="75"/>
        <v>0.53904136523101365</v>
      </c>
      <c r="M61" s="3"/>
      <c r="N61" s="3">
        <v>105966048</v>
      </c>
      <c r="O61" s="3">
        <f t="shared" si="76"/>
        <v>561620.05440000002</v>
      </c>
      <c r="P61" s="10">
        <f t="shared" si="77"/>
        <v>1.1159884160723619</v>
      </c>
      <c r="Q61" s="10"/>
      <c r="R61" s="3">
        <v>427352.92</v>
      </c>
      <c r="S61" s="11">
        <f t="shared" si="78"/>
        <v>102564.70079999999</v>
      </c>
      <c r="T61" s="8">
        <f t="shared" si="79"/>
        <v>0.20380507621475649</v>
      </c>
      <c r="U61" s="8"/>
      <c r="V61" s="10">
        <f t="shared" si="80"/>
        <v>2.8105534062111426</v>
      </c>
      <c r="X61" s="8">
        <f t="shared" si="81"/>
        <v>5.584816673676734</v>
      </c>
      <c r="Z61" s="35">
        <f t="shared" si="82"/>
        <v>-1.8795375447487217E-2</v>
      </c>
    </row>
    <row r="62" spans="1:28">
      <c r="A62">
        <v>503246</v>
      </c>
      <c r="B62" s="2">
        <v>2017</v>
      </c>
      <c r="C62" s="5">
        <v>12131.831</v>
      </c>
      <c r="D62" s="5">
        <f>transportation!S62</f>
        <v>1861704.216</v>
      </c>
      <c r="E62" s="8">
        <f t="shared" si="19"/>
        <v>3.6993919792705756</v>
      </c>
      <c r="F62" s="8"/>
      <c r="G62" s="3">
        <f>electricity!D62</f>
        <v>3006</v>
      </c>
      <c r="H62" s="3">
        <f>electricity!M62</f>
        <v>122141.9882296587</v>
      </c>
      <c r="I62" s="3">
        <f>electricity!N62</f>
        <v>32392.497411711454</v>
      </c>
      <c r="J62" s="3">
        <f>electricity!L62</f>
        <v>138216.42746983579</v>
      </c>
      <c r="K62" s="3">
        <f t="shared" si="74"/>
        <v>292750.91311120597</v>
      </c>
      <c r="L62" s="8">
        <f t="shared" si="75"/>
        <v>0.58172526579685868</v>
      </c>
      <c r="M62" s="3"/>
      <c r="N62" s="3">
        <v>113305238</v>
      </c>
      <c r="O62" s="3">
        <f t="shared" si="76"/>
        <v>600517.76139999996</v>
      </c>
      <c r="P62" s="10">
        <f t="shared" si="77"/>
        <v>1.1932886926075914</v>
      </c>
      <c r="Q62" s="10"/>
      <c r="R62" s="3">
        <v>948776.88</v>
      </c>
      <c r="S62" s="11">
        <f t="shared" si="78"/>
        <v>227706.45119999998</v>
      </c>
      <c r="T62" s="8">
        <f t="shared" si="79"/>
        <v>0.45247543189613026</v>
      </c>
      <c r="U62" s="8"/>
      <c r="V62" s="10">
        <f t="shared" si="80"/>
        <v>2.9826793417112065</v>
      </c>
      <c r="X62" s="8">
        <f t="shared" si="81"/>
        <v>5.9268813695711575</v>
      </c>
      <c r="Z62" s="35">
        <f t="shared" si="82"/>
        <v>6.1242720070601282E-2</v>
      </c>
    </row>
    <row r="63" spans="1:28">
      <c r="A63">
        <v>499942</v>
      </c>
      <c r="B63" s="2">
        <v>2018</v>
      </c>
      <c r="C63" s="5">
        <f>transportation!C63</f>
        <v>12525</v>
      </c>
      <c r="D63" s="5">
        <f>transportation!S63</f>
        <v>1718201</v>
      </c>
      <c r="E63" s="8">
        <f t="shared" si="19"/>
        <v>3.4368006688775896</v>
      </c>
      <c r="F63" s="8"/>
      <c r="G63" s="3">
        <f>electricity!D63</f>
        <v>2911</v>
      </c>
      <c r="H63" s="3">
        <f>electricity!M63</f>
        <v>132477.53175875192</v>
      </c>
      <c r="I63" s="3">
        <f>electricity!N63</f>
        <v>17906.195077345812</v>
      </c>
      <c r="J63" s="3">
        <f>electricity!L63</f>
        <v>107997.99945568359</v>
      </c>
      <c r="K63" s="3">
        <f t="shared" si="74"/>
        <v>258381.72629178132</v>
      </c>
      <c r="L63" s="8">
        <f t="shared" si="75"/>
        <v>0.51682340409843808</v>
      </c>
      <c r="M63" s="3"/>
      <c r="N63" s="3">
        <v>111341989</v>
      </c>
      <c r="O63" s="3">
        <f t="shared" si="76"/>
        <v>590112.54170000006</v>
      </c>
      <c r="P63" s="10">
        <f t="shared" si="77"/>
        <v>1.1803620053926256</v>
      </c>
      <c r="Q63" s="10"/>
      <c r="R63" s="3">
        <v>1245678.97</v>
      </c>
      <c r="S63" s="11">
        <f t="shared" si="78"/>
        <v>298962.95279999997</v>
      </c>
      <c r="T63" s="8">
        <f t="shared" si="79"/>
        <v>0.59799527305167388</v>
      </c>
      <c r="U63" s="8"/>
      <c r="V63" s="10">
        <f t="shared" si="80"/>
        <v>2.8656582207917811</v>
      </c>
      <c r="X63" s="8">
        <f t="shared" si="81"/>
        <v>5.7319813514203268</v>
      </c>
      <c r="Z63" s="35">
        <f t="shared" si="82"/>
        <v>-3.9233557319738127E-2</v>
      </c>
    </row>
    <row r="64" spans="1:28">
      <c r="A64">
        <v>494336</v>
      </c>
      <c r="B64" s="2">
        <v>2019</v>
      </c>
      <c r="C64" s="5">
        <f>transportation!C64</f>
        <v>11865</v>
      </c>
      <c r="D64" s="5">
        <f>transportation!S64</f>
        <v>1873409.6560000002</v>
      </c>
      <c r="E64" s="8">
        <f t="shared" si="19"/>
        <v>3.7897495954168829</v>
      </c>
      <c r="F64" s="8"/>
      <c r="G64" s="3">
        <f>electricity!D64</f>
        <v>2880</v>
      </c>
      <c r="H64" s="3">
        <f>electricity!M64</f>
        <v>146217.10029200008</v>
      </c>
      <c r="I64" s="3">
        <f>electricity!N64</f>
        <v>242.15312664428919</v>
      </c>
      <c r="J64" s="3">
        <f>electricity!L64</f>
        <v>42259.266209180809</v>
      </c>
      <c r="K64" s="3">
        <f>J64+I64+H64</f>
        <v>188718.51962782518</v>
      </c>
      <c r="L64" s="8">
        <f t="shared" si="75"/>
        <v>0.38176163505758265</v>
      </c>
      <c r="N64" s="3">
        <v>110980407</v>
      </c>
      <c r="O64" s="3">
        <f t="shared" si="76"/>
        <v>588196.15709999995</v>
      </c>
      <c r="P64" s="10">
        <f t="shared" si="77"/>
        <v>1.189871174868915</v>
      </c>
      <c r="R64" s="3">
        <v>472841</v>
      </c>
      <c r="S64" s="11">
        <f t="shared" si="78"/>
        <v>113481.84</v>
      </c>
      <c r="T64" s="8">
        <f t="shared" si="79"/>
        <v>0.22956418306576903</v>
      </c>
      <c r="V64" s="10">
        <f t="shared" si="80"/>
        <v>2.7638061727278251</v>
      </c>
      <c r="X64" s="8">
        <f t="shared" si="81"/>
        <v>5.5909465884091496</v>
      </c>
      <c r="Z64" s="35">
        <f t="shared" si="82"/>
        <v>-3.5542287396650628E-2</v>
      </c>
      <c r="AB64" s="35">
        <f>(V64-V59)/V59</f>
        <v>-0.10137229212972522</v>
      </c>
    </row>
    <row r="65" spans="1:28">
      <c r="D65" s="5"/>
      <c r="E65" s="8"/>
      <c r="F65" s="8"/>
    </row>
    <row r="66" spans="1:28">
      <c r="A66" t="s">
        <v>27</v>
      </c>
      <c r="D66" s="5"/>
      <c r="E66" s="8"/>
      <c r="F66" s="8"/>
    </row>
    <row r="67" spans="1:28">
      <c r="A67">
        <f t="shared" ref="A67:A72" si="83">A3+A10+A17+A24+A31+A38+A45+A52+A59</f>
        <v>7548762</v>
      </c>
      <c r="B67" s="2">
        <v>2014</v>
      </c>
      <c r="C67" s="3">
        <f t="shared" ref="C67:C72" si="84">C3+C10+C17+C24+C31+C38+C45+C52+C59</f>
        <v>169981.1890055</v>
      </c>
      <c r="D67" s="5">
        <f>transportation!S67</f>
        <v>19918987.306000002</v>
      </c>
      <c r="E67" s="8">
        <f t="shared" ref="E67:E72" si="85">D67/A67</f>
        <v>2.6387091427706957</v>
      </c>
      <c r="F67" s="8"/>
      <c r="G67" s="3">
        <f>electricity!D67</f>
        <v>55414.972431000002</v>
      </c>
      <c r="H67" s="3">
        <f t="shared" ref="H67:J67" si="86">H3+H10+H17+H24+H31+H38+H45+H52+H59</f>
        <v>4948911.8049260732</v>
      </c>
      <c r="I67" s="3">
        <f t="shared" si="86"/>
        <v>8397507.3791895099</v>
      </c>
      <c r="J67" s="3">
        <f t="shared" si="86"/>
        <v>190047.01489359976</v>
      </c>
      <c r="K67" s="3">
        <f t="shared" ref="K67:K72" si="87">K3+K10+K17+K24+K31+K38+K45+K52+K59</f>
        <v>13536466.199009182</v>
      </c>
      <c r="L67" s="8">
        <f t="shared" ref="L67:L72" si="88">K67/A67</f>
        <v>1.7932034681990481</v>
      </c>
      <c r="N67" s="3">
        <f t="shared" ref="N67:N72" si="89">N3+N10+N17+N24+N31+N38+N45+N52+N59</f>
        <v>2707780902</v>
      </c>
      <c r="O67" s="3">
        <f t="shared" ref="O67:O72" si="90">N67*0.0053</f>
        <v>14351238.7806</v>
      </c>
      <c r="P67" s="10">
        <f t="shared" ref="P67:P72" si="91">O67/A67</f>
        <v>1.9011380648376515</v>
      </c>
      <c r="Q67" s="10"/>
      <c r="R67" s="3">
        <f t="shared" ref="R67:R72" si="92">R3+R10+R17+R24+R31+R38+R45+R52+R59</f>
        <v>5073047.93</v>
      </c>
      <c r="S67" s="11">
        <f t="shared" ref="S67:S72" si="93">R67*0.24</f>
        <v>1217531.5031999999</v>
      </c>
      <c r="T67" s="8">
        <f t="shared" ref="T67:T72" si="94">S67/A67</f>
        <v>0.16128889786166262</v>
      </c>
      <c r="U67" s="8"/>
      <c r="V67" s="10">
        <f t="shared" ref="V67:V72" si="95">(D67+K67+O67+S67)/1000000</f>
        <v>49.024223788809188</v>
      </c>
      <c r="X67" s="8">
        <f t="shared" ref="X67:X72" si="96">(V67/A67)*1000000</f>
        <v>6.4943395736690581</v>
      </c>
    </row>
    <row r="68" spans="1:28">
      <c r="A68">
        <f t="shared" si="83"/>
        <v>7643170</v>
      </c>
      <c r="B68" s="2">
        <v>2015</v>
      </c>
      <c r="C68" s="3">
        <f t="shared" si="84"/>
        <v>171971.01499999993</v>
      </c>
      <c r="D68" s="5">
        <f>transportation!S68</f>
        <v>22975760.822000001</v>
      </c>
      <c r="E68" s="8">
        <f t="shared" si="85"/>
        <v>3.0060512617147075</v>
      </c>
      <c r="F68" s="8"/>
      <c r="G68" s="3">
        <f>electricity!D68</f>
        <v>55297.091487999998</v>
      </c>
      <c r="H68" s="3">
        <f t="shared" ref="H68:J68" si="97">H4+H11+H18+H25+H32+H39+H46+H53+H60</f>
        <v>5034775.0214947397</v>
      </c>
      <c r="I68" s="3">
        <f t="shared" si="97"/>
        <v>7357352.0564381983</v>
      </c>
      <c r="J68" s="3">
        <f t="shared" si="97"/>
        <v>427361.90308047773</v>
      </c>
      <c r="K68" s="3">
        <f t="shared" si="87"/>
        <v>12819488.981013414</v>
      </c>
      <c r="L68" s="8">
        <f t="shared" si="88"/>
        <v>1.6772476578452937</v>
      </c>
      <c r="N68" s="3">
        <f t="shared" si="89"/>
        <v>2687322708</v>
      </c>
      <c r="O68" s="3">
        <f t="shared" si="90"/>
        <v>14242810.352399999</v>
      </c>
      <c r="P68" s="10">
        <f t="shared" si="91"/>
        <v>1.863468999433481</v>
      </c>
      <c r="Q68" s="10"/>
      <c r="R68" s="3">
        <f t="shared" si="92"/>
        <v>5411599.7799999993</v>
      </c>
      <c r="S68" s="11">
        <f t="shared" si="93"/>
        <v>1298783.9471999998</v>
      </c>
      <c r="T68" s="8">
        <f t="shared" si="94"/>
        <v>0.16992739232543563</v>
      </c>
      <c r="U68" s="8"/>
      <c r="V68" s="10">
        <f t="shared" si="95"/>
        <v>51.336844102613412</v>
      </c>
      <c r="X68" s="8">
        <f t="shared" si="96"/>
        <v>6.7166953113189178</v>
      </c>
      <c r="Z68" s="35">
        <f t="shared" ref="Z68:Z72" si="98">(V68-V67)/V67</f>
        <v>4.7173012341138354E-2</v>
      </c>
    </row>
    <row r="69" spans="1:28">
      <c r="A69">
        <f t="shared" si="83"/>
        <v>7702447</v>
      </c>
      <c r="B69" s="2">
        <v>2016</v>
      </c>
      <c r="C69" s="3">
        <f t="shared" si="84"/>
        <v>172648.40700000001</v>
      </c>
      <c r="D69" s="5">
        <f>transportation!S69</f>
        <v>23794937.688999999</v>
      </c>
      <c r="E69" s="8">
        <f t="shared" si="85"/>
        <v>3.0892699020194492</v>
      </c>
      <c r="F69" s="8"/>
      <c r="G69" s="3">
        <f>electricity!D69</f>
        <v>55865.380157</v>
      </c>
      <c r="H69" s="3">
        <f t="shared" ref="H69:J69" si="99">H5+H12+H19+H26+H33+H40+H47+H54+H61</f>
        <v>5565097.8638107404</v>
      </c>
      <c r="I69" s="3">
        <f t="shared" si="99"/>
        <v>5066276.8666919386</v>
      </c>
      <c r="J69" s="3">
        <f t="shared" si="99"/>
        <v>410073.29521567858</v>
      </c>
      <c r="K69" s="3">
        <f t="shared" si="87"/>
        <v>11041448.025718356</v>
      </c>
      <c r="L69" s="8">
        <f t="shared" si="88"/>
        <v>1.433498734326683</v>
      </c>
      <c r="N69" s="3">
        <f t="shared" si="89"/>
        <v>2808891486</v>
      </c>
      <c r="O69" s="3">
        <f t="shared" si="90"/>
        <v>14887124.875800001</v>
      </c>
      <c r="P69" s="10">
        <f t="shared" si="91"/>
        <v>1.9327786190284724</v>
      </c>
      <c r="Q69" s="10"/>
      <c r="R69" s="3">
        <f t="shared" si="92"/>
        <v>5729982.6299999999</v>
      </c>
      <c r="S69" s="11">
        <f t="shared" si="93"/>
        <v>1375195.8311999999</v>
      </c>
      <c r="T69" s="8">
        <f t="shared" si="94"/>
        <v>0.17854012253508528</v>
      </c>
      <c r="U69" s="8"/>
      <c r="V69" s="10">
        <f t="shared" si="95"/>
        <v>51.098706421718362</v>
      </c>
      <c r="X69" s="8">
        <f t="shared" si="96"/>
        <v>6.6340873779096903</v>
      </c>
      <c r="Z69" s="35">
        <f t="shared" si="98"/>
        <v>-4.6387284816155599E-3</v>
      </c>
    </row>
    <row r="70" spans="1:28">
      <c r="A70">
        <f t="shared" si="83"/>
        <v>7731585</v>
      </c>
      <c r="B70" s="2">
        <v>2017</v>
      </c>
      <c r="C70" s="3">
        <f t="shared" si="84"/>
        <v>172665.83000000002</v>
      </c>
      <c r="D70" s="5">
        <f>transportation!S70</f>
        <v>23647431.339000002</v>
      </c>
      <c r="E70" s="8">
        <f t="shared" si="85"/>
        <v>3.058548970101215</v>
      </c>
      <c r="F70" s="8"/>
      <c r="G70" s="3">
        <f>electricity!D70</f>
        <v>56550.694895000008</v>
      </c>
      <c r="H70" s="3">
        <f t="shared" ref="H70:J70" si="100">H6+H13+H20+H27+H34+H41+H48+H55+H62</f>
        <v>5825063.8883142546</v>
      </c>
      <c r="I70" s="3">
        <f t="shared" si="100"/>
        <v>3075106.5994637208</v>
      </c>
      <c r="J70" s="3">
        <f t="shared" si="100"/>
        <v>463296.46116391494</v>
      </c>
      <c r="K70" s="3">
        <f t="shared" si="87"/>
        <v>9363466.9489418902</v>
      </c>
      <c r="L70" s="8">
        <f t="shared" si="88"/>
        <v>1.2110669350387908</v>
      </c>
      <c r="N70" s="3">
        <f t="shared" si="89"/>
        <v>2834091842</v>
      </c>
      <c r="O70" s="3">
        <f t="shared" si="90"/>
        <v>15020686.762600001</v>
      </c>
      <c r="P70" s="10">
        <f t="shared" si="91"/>
        <v>1.9427694014357988</v>
      </c>
      <c r="Q70" s="10"/>
      <c r="R70" s="3">
        <f t="shared" si="92"/>
        <v>6738984.0999999996</v>
      </c>
      <c r="S70" s="11">
        <f t="shared" si="93"/>
        <v>1617356.1839999999</v>
      </c>
      <c r="T70" s="8">
        <f t="shared" si="94"/>
        <v>0.2091881786205545</v>
      </c>
      <c r="U70" s="8"/>
      <c r="V70" s="10">
        <f t="shared" si="95"/>
        <v>49.648941234541894</v>
      </c>
      <c r="X70" s="8">
        <f t="shared" si="96"/>
        <v>6.4215734851963591</v>
      </c>
      <c r="Z70" s="35">
        <f t="shared" si="98"/>
        <v>-2.8371856915741359E-2</v>
      </c>
    </row>
    <row r="71" spans="1:28">
      <c r="A71">
        <f t="shared" si="83"/>
        <v>7753023</v>
      </c>
      <c r="B71" s="2">
        <v>2018</v>
      </c>
      <c r="C71" s="3">
        <f t="shared" si="84"/>
        <v>175103.16</v>
      </c>
      <c r="D71" s="5">
        <f>transportation!S71</f>
        <v>22517771.300000001</v>
      </c>
      <c r="E71" s="8">
        <f t="shared" si="85"/>
        <v>2.9043859795076066</v>
      </c>
      <c r="F71" s="8"/>
      <c r="G71" s="3">
        <f>electricity!D71</f>
        <v>54756.792474000002</v>
      </c>
      <c r="H71" s="3">
        <f t="shared" ref="H71:J71" si="101">H7+H14+H21+H28+H35+H42+H49+H56+H63</f>
        <v>5680572.1390328938</v>
      </c>
      <c r="I71" s="3">
        <f t="shared" si="101"/>
        <v>2296333.9610475879</v>
      </c>
      <c r="J71" s="3">
        <f t="shared" si="101"/>
        <v>679933.75780035777</v>
      </c>
      <c r="K71" s="3">
        <f t="shared" si="87"/>
        <v>8656839.8578808401</v>
      </c>
      <c r="L71" s="8">
        <f t="shared" si="88"/>
        <v>1.116576057865537</v>
      </c>
      <c r="N71" s="3">
        <f t="shared" si="89"/>
        <v>2840175428</v>
      </c>
      <c r="O71" s="3">
        <f t="shared" si="90"/>
        <v>15052929.7684</v>
      </c>
      <c r="P71" s="10">
        <f t="shared" si="91"/>
        <v>1.9415561863288682</v>
      </c>
      <c r="Q71" s="10"/>
      <c r="R71" s="3">
        <f t="shared" si="92"/>
        <v>7239670.7199999997</v>
      </c>
      <c r="S71" s="11">
        <f t="shared" si="93"/>
        <v>1737520.9727999999</v>
      </c>
      <c r="T71" s="8">
        <f t="shared" si="94"/>
        <v>0.22410883764952069</v>
      </c>
      <c r="U71" s="8"/>
      <c r="V71" s="10">
        <f t="shared" si="95"/>
        <v>47.965061899080844</v>
      </c>
      <c r="X71" s="8">
        <f t="shared" si="96"/>
        <v>6.1866270613515333</v>
      </c>
      <c r="Z71" s="35">
        <f t="shared" si="98"/>
        <v>-3.3915714889193593E-2</v>
      </c>
    </row>
    <row r="72" spans="1:28">
      <c r="A72">
        <f t="shared" si="83"/>
        <v>7733640</v>
      </c>
      <c r="B72" s="2">
        <v>2019</v>
      </c>
      <c r="C72" s="3">
        <f t="shared" si="84"/>
        <v>165328.70000000001</v>
      </c>
      <c r="D72" s="5">
        <f>transportation!S72</f>
        <v>23618371.496000007</v>
      </c>
      <c r="E72" s="8">
        <f t="shared" si="85"/>
        <v>3.0539786563636278</v>
      </c>
      <c r="G72" s="3">
        <f>electricity!D72</f>
        <v>55420</v>
      </c>
      <c r="H72" s="3">
        <f t="shared" ref="H72:J72" si="102">H8+H15+H22+H29+H36+H43+H50+H57+H64</f>
        <v>5810887.4621014437</v>
      </c>
      <c r="I72" s="3">
        <f t="shared" si="102"/>
        <v>19826.863278006356</v>
      </c>
      <c r="J72" s="3">
        <f t="shared" si="102"/>
        <v>641929.09245198034</v>
      </c>
      <c r="K72" s="3">
        <f t="shared" si="87"/>
        <v>6472643.4178314321</v>
      </c>
      <c r="L72" s="8">
        <f t="shared" si="88"/>
        <v>0.83694656304552995</v>
      </c>
      <c r="N72" s="3">
        <f t="shared" si="89"/>
        <v>2949946775</v>
      </c>
      <c r="O72" s="3">
        <f t="shared" si="90"/>
        <v>15634717.907500001</v>
      </c>
      <c r="P72" s="10">
        <f t="shared" si="91"/>
        <v>2.0216505949979569</v>
      </c>
      <c r="R72" s="3">
        <f t="shared" si="92"/>
        <v>6380729</v>
      </c>
      <c r="S72" s="11">
        <f t="shared" si="93"/>
        <v>1531374.96</v>
      </c>
      <c r="T72" s="8">
        <f t="shared" si="94"/>
        <v>0.19801477182801372</v>
      </c>
      <c r="V72" s="10">
        <f t="shared" si="95"/>
        <v>47.257107781331442</v>
      </c>
      <c r="X72" s="8">
        <f t="shared" si="96"/>
        <v>6.1105905862351291</v>
      </c>
      <c r="Z72" s="35">
        <f t="shared" si="98"/>
        <v>-1.4759787431087809E-2</v>
      </c>
      <c r="AB72" s="37">
        <f>(V72-V67)/V67</f>
        <v>-3.6045772291883334E-2</v>
      </c>
    </row>
    <row r="75" spans="1:28">
      <c r="O75" s="3"/>
    </row>
    <row r="80" spans="1:28">
      <c r="A80" t="s">
        <v>146</v>
      </c>
    </row>
    <row r="82" spans="1:1">
      <c r="A82" t="s">
        <v>115</v>
      </c>
    </row>
    <row r="84" spans="1:1">
      <c r="A84" t="s">
        <v>31</v>
      </c>
    </row>
    <row r="86" spans="1:1">
      <c r="A86" s="12" t="s">
        <v>32</v>
      </c>
    </row>
    <row r="87" spans="1:1">
      <c r="A87" t="s">
        <v>28</v>
      </c>
    </row>
    <row r="89" spans="1:1">
      <c r="A89" t="s">
        <v>113</v>
      </c>
    </row>
  </sheetData>
  <conditionalFormatting sqref="Z4:Z72">
    <cfRule type="cellIs" dxfId="23" priority="41" operator="lessThan">
      <formula>0</formula>
    </cfRule>
    <cfRule type="cellIs" dxfId="22" priority="42" operator="greaterThan">
      <formula>0</formula>
    </cfRule>
  </conditionalFormatting>
  <conditionalFormatting sqref="AA8">
    <cfRule type="cellIs" dxfId="21" priority="39" operator="lessThan">
      <formula>0</formula>
    </cfRule>
    <cfRule type="cellIs" dxfId="20" priority="40" operator="greaterThan">
      <formula>0</formula>
    </cfRule>
  </conditionalFormatting>
  <conditionalFormatting sqref="AB8">
    <cfRule type="cellIs" dxfId="19" priority="37" operator="lessThan">
      <formula>0</formula>
    </cfRule>
    <cfRule type="cellIs" dxfId="18" priority="38" operator="greaterThan">
      <formula>0</formula>
    </cfRule>
  </conditionalFormatting>
  <conditionalFormatting sqref="AB15">
    <cfRule type="cellIs" dxfId="17" priority="17" operator="lessThan">
      <formula>0</formula>
    </cfRule>
    <cfRule type="cellIs" dxfId="16" priority="18" operator="greaterThan">
      <formula>0</formula>
    </cfRule>
  </conditionalFormatting>
  <conditionalFormatting sqref="AB22">
    <cfRule type="cellIs" dxfId="15" priority="15" operator="lessThan">
      <formula>0</formula>
    </cfRule>
    <cfRule type="cellIs" dxfId="14" priority="16" operator="greaterThan">
      <formula>0</formula>
    </cfRule>
  </conditionalFormatting>
  <conditionalFormatting sqref="AB29">
    <cfRule type="cellIs" dxfId="13" priority="13" operator="lessThan">
      <formula>0</formula>
    </cfRule>
    <cfRule type="cellIs" dxfId="12" priority="14" operator="greaterThan">
      <formula>0</formula>
    </cfRule>
  </conditionalFormatting>
  <conditionalFormatting sqref="AB36">
    <cfRule type="cellIs" dxfId="11" priority="11" operator="lessThan">
      <formula>0</formula>
    </cfRule>
    <cfRule type="cellIs" dxfId="10" priority="12" operator="greaterThan">
      <formula>0</formula>
    </cfRule>
  </conditionalFormatting>
  <conditionalFormatting sqref="AB43">
    <cfRule type="cellIs" dxfId="9" priority="9" operator="lessThan">
      <formula>0</formula>
    </cfRule>
    <cfRule type="cellIs" dxfId="8" priority="10" operator="greaterThan">
      <formula>0</formula>
    </cfRule>
  </conditionalFormatting>
  <conditionalFormatting sqref="AB50">
    <cfRule type="cellIs" dxfId="7" priority="7" operator="lessThan">
      <formula>0</formula>
    </cfRule>
    <cfRule type="cellIs" dxfId="6" priority="8" operator="greaterThan">
      <formula>0</formula>
    </cfRule>
  </conditionalFormatting>
  <conditionalFormatting sqref="AB57">
    <cfRule type="cellIs" dxfId="5" priority="5" operator="lessThan">
      <formula>0</formula>
    </cfRule>
    <cfRule type="cellIs" dxfId="4" priority="6" operator="greaterThan">
      <formula>0</formula>
    </cfRule>
  </conditionalFormatting>
  <conditionalFormatting sqref="AB64">
    <cfRule type="cellIs" dxfId="3" priority="3" operator="lessThan">
      <formula>0</formula>
    </cfRule>
    <cfRule type="cellIs" dxfId="2" priority="4" operator="greaterThan">
      <formula>0</formula>
    </cfRule>
  </conditionalFormatting>
  <conditionalFormatting sqref="AB72">
    <cfRule type="cellIs" dxfId="1" priority="1" operator="lessThan">
      <formula>0</formula>
    </cfRule>
    <cfRule type="cellIs" dxfId="0" priority="2" operator="greaterThan">
      <formula>0</formula>
    </cfRule>
  </conditionalFormatting>
  <pageMargins left="0.70858585858585854" right="1.3888888888888888E-2" top="0.75" bottom="0.15277777777777779" header="0.3" footer="0.3"/>
  <pageSetup scale="46" orientation="landscape" horizontalDpi="0" verticalDpi="0" r:id="rId1"/>
  <headerFooter>
    <oddHeader>&amp;LBAY AREA GHG TRENDS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97621-BE97-46F9-800B-1CE516E6E056}">
  <dimension ref="A1:I22"/>
  <sheetViews>
    <sheetView workbookViewId="0">
      <selection activeCell="G18" sqref="G18"/>
    </sheetView>
  </sheetViews>
  <sheetFormatPr defaultRowHeight="15.5"/>
  <sheetData>
    <row r="1" spans="1:9" s="70" customFormat="1">
      <c r="B1" s="70" t="s">
        <v>192</v>
      </c>
      <c r="C1" s="70" t="s">
        <v>193</v>
      </c>
      <c r="D1" s="70" t="s">
        <v>194</v>
      </c>
      <c r="E1" s="70" t="s">
        <v>195</v>
      </c>
      <c r="F1" s="70" t="s">
        <v>196</v>
      </c>
    </row>
    <row r="2" spans="1:9">
      <c r="A2" t="s">
        <v>7</v>
      </c>
    </row>
    <row r="3" spans="1:9">
      <c r="A3">
        <v>2014</v>
      </c>
      <c r="B3" s="3">
        <v>222955.34551519371</v>
      </c>
      <c r="C3" s="3">
        <v>338062.44900000002</v>
      </c>
      <c r="D3" s="3">
        <v>185367.26149999999</v>
      </c>
      <c r="E3" s="11">
        <v>28919.457600000002</v>
      </c>
      <c r="F3" s="11">
        <v>775303</v>
      </c>
    </row>
    <row r="4" spans="1:9">
      <c r="A4">
        <v>2019</v>
      </c>
      <c r="B4" s="3">
        <v>82454.443566160655</v>
      </c>
      <c r="C4" s="3">
        <v>509007.27800000005</v>
      </c>
      <c r="D4" s="3">
        <v>210556.28</v>
      </c>
      <c r="E4" s="11">
        <v>43366.799999999996</v>
      </c>
      <c r="F4" s="3">
        <v>845384</v>
      </c>
      <c r="I4" t="s">
        <v>197</v>
      </c>
    </row>
    <row r="5" spans="1:9">
      <c r="A5" t="s">
        <v>198</v>
      </c>
      <c r="B5" s="74">
        <v>140501</v>
      </c>
      <c r="C5" s="75">
        <v>170945</v>
      </c>
      <c r="D5" s="75">
        <v>25189</v>
      </c>
      <c r="E5" s="75">
        <v>14448</v>
      </c>
      <c r="F5" s="75">
        <v>70081</v>
      </c>
    </row>
    <row r="6" spans="1:9">
      <c r="A6" t="s">
        <v>199</v>
      </c>
      <c r="B6" s="72">
        <v>0.37</v>
      </c>
      <c r="C6" s="73">
        <v>0.51</v>
      </c>
      <c r="D6" s="73">
        <v>0.14000000000000001</v>
      </c>
      <c r="E6" s="73">
        <v>0.5</v>
      </c>
      <c r="F6" s="73">
        <v>0.09</v>
      </c>
    </row>
    <row r="7" spans="1:9">
      <c r="F7" s="3"/>
    </row>
    <row r="8" spans="1:9">
      <c r="A8" t="s">
        <v>49</v>
      </c>
    </row>
    <row r="9" spans="1:9">
      <c r="A9">
        <v>2014</v>
      </c>
      <c r="B9" s="3">
        <v>1400129.7194400285</v>
      </c>
      <c r="C9" s="3">
        <v>828517.8820000001</v>
      </c>
      <c r="D9" s="3">
        <v>1165740.7611</v>
      </c>
      <c r="E9" s="11">
        <v>127073.8248</v>
      </c>
      <c r="F9" s="11">
        <v>3521463</v>
      </c>
    </row>
    <row r="10" spans="1:9">
      <c r="A10">
        <v>2019</v>
      </c>
      <c r="B10" s="3">
        <v>520705.43472537608</v>
      </c>
      <c r="C10" s="3">
        <v>983104.63200000022</v>
      </c>
      <c r="D10" s="3">
        <v>1216238.2601000001</v>
      </c>
      <c r="E10" s="11">
        <v>171122.4</v>
      </c>
      <c r="F10" s="11">
        <v>2891170</v>
      </c>
    </row>
    <row r="11" spans="1:9">
      <c r="A11" t="s">
        <v>198</v>
      </c>
      <c r="B11" s="74">
        <v>879425</v>
      </c>
      <c r="C11" s="75">
        <v>154587</v>
      </c>
      <c r="D11" s="75">
        <v>50497</v>
      </c>
      <c r="E11" s="75">
        <v>44048</v>
      </c>
      <c r="F11" s="74">
        <v>630293</v>
      </c>
    </row>
    <row r="12" spans="1:9">
      <c r="A12" t="s">
        <v>199</v>
      </c>
      <c r="B12" s="72">
        <v>0.37</v>
      </c>
      <c r="C12" s="73">
        <v>0.19</v>
      </c>
      <c r="D12" s="73">
        <v>0.04</v>
      </c>
      <c r="E12" s="73">
        <v>0.35</v>
      </c>
      <c r="F12" s="72">
        <v>0.18</v>
      </c>
    </row>
    <row r="21" spans="6:8">
      <c r="H21" t="s">
        <v>197</v>
      </c>
    </row>
    <row r="22" spans="6:8">
      <c r="F22" s="71"/>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16FFE-F9EA-8540-BCD2-DE525FEB846B}">
  <dimension ref="A1:T79"/>
  <sheetViews>
    <sheetView zoomScale="90" zoomScaleNormal="90" workbookViewId="0">
      <pane xSplit="2" ySplit="2" topLeftCell="C21" activePane="bottomRight" state="frozen"/>
      <selection pane="topRight" activeCell="C1" sqref="C1"/>
      <selection pane="bottomLeft" activeCell="A3" sqref="A3"/>
      <selection pane="bottomRight" activeCell="W43" sqref="W43"/>
    </sheetView>
  </sheetViews>
  <sheetFormatPr defaultColWidth="10.58203125" defaultRowHeight="15.5"/>
  <cols>
    <col min="1" max="1" width="14.83203125" customWidth="1"/>
    <col min="2" max="2" width="8.5" customWidth="1"/>
    <col min="3" max="3" width="13.5" customWidth="1"/>
    <col min="4" max="4" width="10" customWidth="1"/>
    <col min="5" max="5" width="17" customWidth="1"/>
    <col min="6" max="6" width="17.33203125" style="1" customWidth="1"/>
    <col min="7" max="7" width="12.08203125" style="8" customWidth="1"/>
    <col min="8" max="8" width="11.33203125" style="6" customWidth="1"/>
    <col min="9" max="9" width="9.33203125" customWidth="1"/>
    <col min="10" max="10" width="7" customWidth="1"/>
    <col min="11" max="11" width="15.08203125" customWidth="1"/>
    <col min="12" max="12" width="14" customWidth="1"/>
    <col min="13" max="13" width="11.08203125" style="3" customWidth="1"/>
    <col min="14" max="14" width="4.83203125" customWidth="1"/>
    <col min="15" max="15" width="16.5" customWidth="1"/>
    <col min="16" max="16" width="14.58203125" customWidth="1"/>
    <col min="17" max="17" width="10.83203125" style="3"/>
    <col min="18" max="18" width="4" customWidth="1"/>
    <col min="19" max="19" width="13.08203125" customWidth="1"/>
    <col min="20" max="20" width="10.83203125" style="10"/>
  </cols>
  <sheetData>
    <row r="1" spans="1:20">
      <c r="A1" s="1" t="s">
        <v>19</v>
      </c>
      <c r="B1" s="1" t="s">
        <v>1</v>
      </c>
      <c r="C1" s="33" t="s">
        <v>148</v>
      </c>
      <c r="D1" s="4"/>
      <c r="E1" s="3"/>
      <c r="F1" s="4"/>
      <c r="G1" s="8" t="s">
        <v>25</v>
      </c>
      <c r="K1" t="s">
        <v>145</v>
      </c>
      <c r="L1" s="68" t="s">
        <v>143</v>
      </c>
      <c r="M1" s="3" t="s">
        <v>139</v>
      </c>
      <c r="O1" t="s">
        <v>144</v>
      </c>
      <c r="P1" t="s">
        <v>142</v>
      </c>
      <c r="Q1" s="5" t="s">
        <v>139</v>
      </c>
      <c r="S1" t="s">
        <v>141</v>
      </c>
    </row>
    <row r="2" spans="1:20">
      <c r="A2" t="s">
        <v>0</v>
      </c>
      <c r="C2" s="3" t="s">
        <v>26</v>
      </c>
      <c r="D2" s="3" t="s">
        <v>21</v>
      </c>
      <c r="E2" s="3" t="s">
        <v>24</v>
      </c>
      <c r="F2" s="4" t="s">
        <v>23</v>
      </c>
      <c r="G2" s="9" t="s">
        <v>15</v>
      </c>
      <c r="H2" s="6" t="s">
        <v>18</v>
      </c>
      <c r="I2" s="3" t="s">
        <v>21</v>
      </c>
      <c r="K2" t="s">
        <v>140</v>
      </c>
      <c r="L2" t="s">
        <v>190</v>
      </c>
      <c r="M2" s="3" t="s">
        <v>38</v>
      </c>
      <c r="O2" t="s">
        <v>140</v>
      </c>
      <c r="P2" t="s">
        <v>190</v>
      </c>
      <c r="Q2" s="3" t="s">
        <v>38</v>
      </c>
      <c r="S2" t="s">
        <v>38</v>
      </c>
      <c r="T2" s="19" t="s">
        <v>15</v>
      </c>
    </row>
    <row r="3" spans="1:20">
      <c r="A3">
        <v>1608674</v>
      </c>
      <c r="B3">
        <v>2014</v>
      </c>
      <c r="C3" s="3">
        <v>41337.434302000001</v>
      </c>
      <c r="D3" s="3"/>
      <c r="E3" s="3">
        <f t="shared" ref="E3:E8" si="0">C3*1000*365*F3*0.001*0.001</f>
        <v>6264942.7035228563</v>
      </c>
      <c r="F3" s="4">
        <f t="shared" ref="F3:F8" si="1">8887/H3</f>
        <v>415.22234930201461</v>
      </c>
      <c r="G3" s="8">
        <f t="shared" ref="G3:G8" si="2">(E3/A3)</f>
        <v>3.8944762602757654</v>
      </c>
      <c r="H3" s="6">
        <v>21.402990506024</v>
      </c>
      <c r="K3">
        <v>27</v>
      </c>
      <c r="M3" s="3">
        <f>K3*((10.18*(1-0.065)))*1000</f>
        <v>256994.1</v>
      </c>
      <c r="O3">
        <v>491</v>
      </c>
      <c r="Q3" s="3">
        <f>O3*(8.887*(1-0.107))*1000</f>
        <v>3896620.6810000003</v>
      </c>
      <c r="S3" s="3">
        <f t="shared" ref="S3:S8" si="3">M3+Q3</f>
        <v>4153614.7810000004</v>
      </c>
      <c r="T3" s="10">
        <f t="shared" ref="T3:T8" si="4">S3/A3</f>
        <v>2.582011508235976</v>
      </c>
    </row>
    <row r="4" spans="1:20">
      <c r="A4">
        <v>1634634</v>
      </c>
      <c r="B4">
        <v>2015</v>
      </c>
      <c r="C4" s="3">
        <v>41698.618000000002</v>
      </c>
      <c r="D4" s="3"/>
      <c r="E4" s="3">
        <f t="shared" si="0"/>
        <v>6153972.9538454963</v>
      </c>
      <c r="F4" s="4">
        <f t="shared" si="1"/>
        <v>404.33474014772634</v>
      </c>
      <c r="G4" s="8">
        <f t="shared" si="2"/>
        <v>3.7647405803656944</v>
      </c>
      <c r="H4" s="6">
        <v>21.979313468719202</v>
      </c>
      <c r="K4">
        <v>49</v>
      </c>
      <c r="M4" s="3">
        <f>K4*(10.18*(1-0.103))*1000</f>
        <v>447441.54000000004</v>
      </c>
      <c r="O4">
        <v>542</v>
      </c>
      <c r="Q4" s="3">
        <f>O4*(8.887*(1-0.102))*1000</f>
        <v>4325445.0920000002</v>
      </c>
      <c r="S4" s="3">
        <f t="shared" si="3"/>
        <v>4772886.6320000002</v>
      </c>
      <c r="T4" s="10">
        <f t="shared" si="4"/>
        <v>2.9198503346926592</v>
      </c>
    </row>
    <row r="5" spans="1:20">
      <c r="A5">
        <v>1650306</v>
      </c>
      <c r="B5">
        <v>2016</v>
      </c>
      <c r="C5" s="3">
        <v>42081.928999999996</v>
      </c>
      <c r="D5" s="3"/>
      <c r="E5" s="3">
        <f t="shared" si="0"/>
        <v>6193873.6428701263</v>
      </c>
      <c r="F5" s="4">
        <f t="shared" si="1"/>
        <v>403.24950003554181</v>
      </c>
      <c r="G5" s="8">
        <f t="shared" si="2"/>
        <v>3.7531667720229618</v>
      </c>
      <c r="H5" s="6">
        <v>22.038465017852999</v>
      </c>
      <c r="K5">
        <v>54</v>
      </c>
      <c r="M5" s="3">
        <f>K5*(10.18*(1-0.139))*1000</f>
        <v>473308.92</v>
      </c>
      <c r="O5">
        <v>582</v>
      </c>
      <c r="Q5" s="3">
        <f>O5*(8.887*(1-0.099))*1000</f>
        <v>4660182.8339999998</v>
      </c>
      <c r="S5" s="3">
        <f t="shared" si="3"/>
        <v>5133491.7539999997</v>
      </c>
      <c r="T5" s="10">
        <f t="shared" si="4"/>
        <v>3.1106302431185489</v>
      </c>
    </row>
    <row r="6" spans="1:20">
      <c r="A6">
        <v>1658131</v>
      </c>
      <c r="B6">
        <v>2017</v>
      </c>
      <c r="C6" s="3">
        <v>41889.631999999998</v>
      </c>
      <c r="D6" s="3"/>
      <c r="E6" s="3">
        <f t="shared" si="0"/>
        <v>6093260.2353434972</v>
      </c>
      <c r="F6" s="4">
        <f t="shared" si="1"/>
        <v>398.52017937219728</v>
      </c>
      <c r="G6" s="8">
        <f t="shared" si="2"/>
        <v>3.674776139728102</v>
      </c>
      <c r="H6" s="6">
        <v>22.3</v>
      </c>
      <c r="K6">
        <v>58</v>
      </c>
      <c r="M6" s="3">
        <f>K6*(10.18*(1-0.162))*1000</f>
        <v>494788.72</v>
      </c>
      <c r="O6">
        <v>583</v>
      </c>
      <c r="Q6" s="3">
        <f>O6*(8.887*(1-0.099))*1000</f>
        <v>4668190.0210000006</v>
      </c>
      <c r="S6" s="3">
        <f t="shared" si="3"/>
        <v>5162978.7410000004</v>
      </c>
      <c r="T6" s="10">
        <f t="shared" si="4"/>
        <v>3.1137339215055988</v>
      </c>
    </row>
    <row r="7" spans="1:20">
      <c r="A7">
        <v>1666753</v>
      </c>
      <c r="B7">
        <v>2018</v>
      </c>
      <c r="C7" s="3">
        <v>42261.16</v>
      </c>
      <c r="D7" s="3"/>
      <c r="E7" s="3">
        <f t="shared" si="0"/>
        <v>6092659.9580355557</v>
      </c>
      <c r="F7" s="4">
        <f t="shared" si="1"/>
        <v>394.97777777777776</v>
      </c>
      <c r="G7" s="8">
        <f t="shared" si="2"/>
        <v>3.6554066247581711</v>
      </c>
      <c r="H7" s="6">
        <v>22.5</v>
      </c>
      <c r="K7">
        <v>62</v>
      </c>
      <c r="M7" s="3">
        <f>K7*(10.18*(1-0.185))*1000</f>
        <v>514395.4</v>
      </c>
      <c r="O7">
        <v>569</v>
      </c>
      <c r="Q7" s="3">
        <f>O7*(8.887*(1-0.1))*1000</f>
        <v>4551032.7000000011</v>
      </c>
      <c r="S7" s="3">
        <f t="shared" si="3"/>
        <v>5065428.1000000015</v>
      </c>
      <c r="T7" s="10">
        <f t="shared" si="4"/>
        <v>3.0390994346492861</v>
      </c>
    </row>
    <row r="8" spans="1:20">
      <c r="A8">
        <v>1671329</v>
      </c>
      <c r="B8">
        <v>2019</v>
      </c>
      <c r="C8" s="3">
        <v>38611</v>
      </c>
      <c r="D8" s="3"/>
      <c r="E8" s="3">
        <f t="shared" si="0"/>
        <v>5641649.743468469</v>
      </c>
      <c r="F8" s="4">
        <f t="shared" si="1"/>
        <v>400.31531531531533</v>
      </c>
      <c r="G8" s="8">
        <f t="shared" si="2"/>
        <v>3.375547090649698</v>
      </c>
      <c r="H8" s="6">
        <v>22.2</v>
      </c>
      <c r="K8">
        <v>55</v>
      </c>
      <c r="M8" s="3">
        <f>K8*(10.18*(1-0.269))*1000</f>
        <v>409286.89999999997</v>
      </c>
      <c r="O8">
        <v>591</v>
      </c>
      <c r="Q8" s="3">
        <f>O8*(8.887*(1-0.098))*1000</f>
        <v>4737499.7340000011</v>
      </c>
      <c r="S8" s="3">
        <f t="shared" si="3"/>
        <v>5146786.6340000015</v>
      </c>
      <c r="T8" s="10">
        <f t="shared" si="4"/>
        <v>3.0794575059727927</v>
      </c>
    </row>
    <row r="9" spans="1:20">
      <c r="A9" t="s">
        <v>5</v>
      </c>
      <c r="C9" s="3"/>
      <c r="D9" s="3"/>
      <c r="E9" s="3"/>
      <c r="F9" s="4"/>
    </row>
    <row r="10" spans="1:20">
      <c r="A10">
        <v>1109358</v>
      </c>
      <c r="B10">
        <v>2014</v>
      </c>
      <c r="C10" s="3">
        <v>22827.634764999999</v>
      </c>
      <c r="D10" s="3"/>
      <c r="E10" s="3">
        <f t="shared" ref="E10:E15" si="5">C10*1000*365*F10*0.001*0.001</f>
        <v>3459668.6096880492</v>
      </c>
      <c r="F10" s="4">
        <f t="shared" ref="F10:F15" si="6">8887/H10</f>
        <v>415.22234930201461</v>
      </c>
      <c r="G10" s="8">
        <f t="shared" ref="G10:G15" si="7">(E10/A10)</f>
        <v>3.1186223110015425</v>
      </c>
      <c r="H10" s="6">
        <v>21.402990506024</v>
      </c>
      <c r="K10">
        <v>17</v>
      </c>
      <c r="M10" s="3">
        <f>K10*((10.18*(1-0.065)))*1000</f>
        <v>161811.1</v>
      </c>
      <c r="O10">
        <v>392</v>
      </c>
      <c r="Q10" s="3">
        <f>O10*(8.887*(1-0.107))*1000</f>
        <v>3110947.6720000003</v>
      </c>
      <c r="S10" s="3">
        <f t="shared" ref="S10:S15" si="8">M10+Q10</f>
        <v>3272758.7720000003</v>
      </c>
      <c r="T10" s="10">
        <f t="shared" ref="T10:T15" si="9">S10/A10</f>
        <v>2.9501376219398971</v>
      </c>
    </row>
    <row r="11" spans="1:20">
      <c r="A11">
        <v>1124606</v>
      </c>
      <c r="B11">
        <v>2015</v>
      </c>
      <c r="C11" s="3">
        <v>23507.311999999991</v>
      </c>
      <c r="D11" s="3"/>
      <c r="E11" s="3">
        <f t="shared" si="5"/>
        <v>3469260.354518407</v>
      </c>
      <c r="F11" s="4">
        <f t="shared" si="6"/>
        <v>404.33474014772634</v>
      </c>
      <c r="G11" s="8">
        <f t="shared" si="7"/>
        <v>3.0848673709000369</v>
      </c>
      <c r="H11" s="6">
        <v>21.979313468719202</v>
      </c>
      <c r="K11">
        <v>24</v>
      </c>
      <c r="M11" s="3">
        <f>K11*(10.18*(1-0.103))*1000</f>
        <v>219155.04</v>
      </c>
      <c r="O11">
        <v>380</v>
      </c>
      <c r="Q11" s="3">
        <f>O11*(8.887*(1-0.102))*1000</f>
        <v>3032599.8800000004</v>
      </c>
      <c r="S11" s="3">
        <f t="shared" si="8"/>
        <v>3251754.9200000004</v>
      </c>
      <c r="T11" s="10">
        <f t="shared" si="9"/>
        <v>2.8914614718399156</v>
      </c>
    </row>
    <row r="12" spans="1:20">
      <c r="A12">
        <v>1137194</v>
      </c>
      <c r="B12">
        <v>2016</v>
      </c>
      <c r="C12" s="3">
        <v>23736.656999999999</v>
      </c>
      <c r="D12" s="3"/>
      <c r="E12" s="3">
        <f t="shared" si="5"/>
        <v>3493705.1997342771</v>
      </c>
      <c r="F12" s="4">
        <f t="shared" si="6"/>
        <v>403.24950003554181</v>
      </c>
      <c r="G12" s="8">
        <f t="shared" si="7"/>
        <v>3.0722156463490635</v>
      </c>
      <c r="H12" s="6">
        <v>22.038465017852999</v>
      </c>
      <c r="K12">
        <v>26</v>
      </c>
      <c r="M12" s="3">
        <f>K12*(10.18*(1-0.139))*1000</f>
        <v>227889.47999999998</v>
      </c>
      <c r="O12">
        <v>431</v>
      </c>
      <c r="Q12" s="3">
        <f>O12*(8.887*(1-0.099))*1000</f>
        <v>3451097.5970000001</v>
      </c>
      <c r="S12" s="3">
        <f t="shared" si="8"/>
        <v>3678987.077</v>
      </c>
      <c r="T12" s="10">
        <f t="shared" si="9"/>
        <v>3.2351446428665644</v>
      </c>
    </row>
    <row r="13" spans="1:20">
      <c r="A13">
        <v>1144863</v>
      </c>
      <c r="B13">
        <v>2017</v>
      </c>
      <c r="C13" s="3">
        <v>24074.880000000001</v>
      </c>
      <c r="D13" s="3"/>
      <c r="E13" s="3">
        <f t="shared" si="5"/>
        <v>3501928.8060269062</v>
      </c>
      <c r="F13" s="4">
        <f t="shared" si="6"/>
        <v>398.52017937219728</v>
      </c>
      <c r="G13" s="8">
        <f t="shared" si="7"/>
        <v>3.0588190954087136</v>
      </c>
      <c r="H13" s="6">
        <v>22.3</v>
      </c>
      <c r="K13">
        <v>28</v>
      </c>
      <c r="M13" s="3">
        <f>K13*(10.18*(1-0.162))*1000</f>
        <v>238863.52</v>
      </c>
      <c r="O13">
        <v>430</v>
      </c>
      <c r="Q13" s="3">
        <f>O13*(8.887*(1-0.099))*1000</f>
        <v>3443090.41</v>
      </c>
      <c r="S13" s="3">
        <f t="shared" si="8"/>
        <v>3681953.93</v>
      </c>
      <c r="T13" s="10">
        <f t="shared" si="9"/>
        <v>3.2160650925045182</v>
      </c>
    </row>
    <row r="14" spans="1:20">
      <c r="A14">
        <v>1150215</v>
      </c>
      <c r="B14">
        <v>2018</v>
      </c>
      <c r="C14" s="3">
        <v>23914</v>
      </c>
      <c r="D14" s="3"/>
      <c r="E14" s="3">
        <f t="shared" si="5"/>
        <v>3447606.9808888887</v>
      </c>
      <c r="F14" s="4">
        <f t="shared" si="6"/>
        <v>394.97777777777776</v>
      </c>
      <c r="G14" s="8">
        <f t="shared" si="7"/>
        <v>2.9973587380523541</v>
      </c>
      <c r="H14" s="6">
        <v>22.5</v>
      </c>
      <c r="K14">
        <v>34</v>
      </c>
      <c r="M14" s="3">
        <f>K14*(10.18*(1-0.185))*1000</f>
        <v>282087.79999999993</v>
      </c>
      <c r="O14" s="31">
        <v>397</v>
      </c>
      <c r="Q14" s="3">
        <f>O14*(8.887*(1-0.1))*1000</f>
        <v>3175325.1</v>
      </c>
      <c r="S14" s="3">
        <f t="shared" si="8"/>
        <v>3457412.9</v>
      </c>
      <c r="T14" s="10">
        <f t="shared" si="9"/>
        <v>3.0058840303769294</v>
      </c>
    </row>
    <row r="15" spans="1:20">
      <c r="A15">
        <v>1153526</v>
      </c>
      <c r="B15">
        <v>2019</v>
      </c>
      <c r="C15" s="3">
        <v>23599.7</v>
      </c>
      <c r="D15" s="3"/>
      <c r="E15" s="3">
        <f t="shared" si="5"/>
        <v>3448272.2915990991</v>
      </c>
      <c r="F15" s="4">
        <f t="shared" si="6"/>
        <v>400.31531531531533</v>
      </c>
      <c r="G15" s="8">
        <f t="shared" si="7"/>
        <v>2.9893320927305487</v>
      </c>
      <c r="H15" s="6">
        <v>22.2</v>
      </c>
      <c r="K15">
        <v>27</v>
      </c>
      <c r="M15" s="3">
        <f>K15*(10.18*(1-0.269))*1000</f>
        <v>200922.65999999997</v>
      </c>
      <c r="O15" s="32">
        <v>427</v>
      </c>
      <c r="Q15" s="3">
        <f>O15*(8.887*(1-0.098))*1000</f>
        <v>3422863.5980000007</v>
      </c>
      <c r="S15" s="3">
        <f t="shared" si="8"/>
        <v>3623786.2580000008</v>
      </c>
      <c r="T15" s="10">
        <f t="shared" si="9"/>
        <v>3.1414864146971988</v>
      </c>
    </row>
    <row r="16" spans="1:20">
      <c r="A16" t="s">
        <v>6</v>
      </c>
      <c r="C16" s="3"/>
      <c r="D16" s="3"/>
      <c r="E16" s="3"/>
      <c r="F16" s="4"/>
    </row>
    <row r="17" spans="1:20">
      <c r="A17">
        <v>260435</v>
      </c>
      <c r="B17" s="2">
        <v>2014</v>
      </c>
      <c r="C17" s="5">
        <v>7575.3334459999996</v>
      </c>
      <c r="D17" s="5"/>
      <c r="E17" s="3">
        <f t="shared" ref="E17:E22" si="10">C17*1000*365*F17*0.001*0.001</f>
        <v>1148088.4288208997</v>
      </c>
      <c r="F17" s="4">
        <f t="shared" ref="F17:F22" si="11">8887/H17</f>
        <v>415.22234930201461</v>
      </c>
      <c r="G17" s="8">
        <f t="shared" ref="G17:G22" si="12">(E17/A17)</f>
        <v>4.4083492188872455</v>
      </c>
      <c r="H17" s="6">
        <v>21.402990506024</v>
      </c>
      <c r="K17">
        <v>2</v>
      </c>
      <c r="M17" s="3">
        <f>K17*((10.18*(1-0.065)))*1000</f>
        <v>19036.599999999999</v>
      </c>
      <c r="O17">
        <v>75</v>
      </c>
      <c r="Q17" s="3">
        <f>O17*(8.887*(1-0.107))*1000</f>
        <v>595206.82499999995</v>
      </c>
      <c r="S17" s="3">
        <f t="shared" ref="S17:S22" si="13">M17+Q17</f>
        <v>614243.42499999993</v>
      </c>
      <c r="T17" s="10">
        <f t="shared" ref="T17:T22" si="14">S17/A17</f>
        <v>2.3585287115787046</v>
      </c>
    </row>
    <row r="18" spans="1:20">
      <c r="A18">
        <v>261016</v>
      </c>
      <c r="B18" s="2">
        <v>2015</v>
      </c>
      <c r="C18" s="5">
        <v>7563.5669999999991</v>
      </c>
      <c r="D18" s="5"/>
      <c r="E18" s="3">
        <f t="shared" si="10"/>
        <v>1116247.707600245</v>
      </c>
      <c r="F18" s="4">
        <f t="shared" si="11"/>
        <v>404.33474014772634</v>
      </c>
      <c r="G18" s="8">
        <f t="shared" si="12"/>
        <v>4.2765489763089048</v>
      </c>
      <c r="H18" s="6">
        <v>21.979313468719202</v>
      </c>
      <c r="K18">
        <v>3</v>
      </c>
      <c r="M18" s="3">
        <f>K18*(10.18*(1-0.103))*1000</f>
        <v>27394.38</v>
      </c>
      <c r="O18">
        <v>105</v>
      </c>
      <c r="Q18" s="3">
        <f>O18*(8.887*(1-0.102))*1000</f>
        <v>837955.23</v>
      </c>
      <c r="S18" s="3">
        <f t="shared" si="13"/>
        <v>865349.61</v>
      </c>
      <c r="T18" s="10">
        <f t="shared" si="14"/>
        <v>3.3153125095779568</v>
      </c>
    </row>
    <row r="19" spans="1:20">
      <c r="A19">
        <v>260633</v>
      </c>
      <c r="B19" s="2">
        <v>2016</v>
      </c>
      <c r="C19" s="5">
        <v>8027.2950000000001</v>
      </c>
      <c r="D19" s="5"/>
      <c r="E19" s="3">
        <f t="shared" si="10"/>
        <v>1181505.9838165487</v>
      </c>
      <c r="F19" s="4">
        <f t="shared" si="11"/>
        <v>403.24950003554181</v>
      </c>
      <c r="G19" s="8">
        <f t="shared" si="12"/>
        <v>4.5332171437099245</v>
      </c>
      <c r="H19" s="6">
        <v>22.038465017852999</v>
      </c>
      <c r="K19">
        <v>4</v>
      </c>
      <c r="M19" s="3">
        <f>K19*(10.18*(1-0.139))*1000</f>
        <v>35059.919999999998</v>
      </c>
      <c r="O19">
        <v>102</v>
      </c>
      <c r="Q19" s="3">
        <f>O19*(8.887*(1-0.099))*1000</f>
        <v>816733.07400000002</v>
      </c>
      <c r="S19" s="3">
        <f t="shared" si="13"/>
        <v>851792.99400000006</v>
      </c>
      <c r="T19" s="10">
        <f t="shared" si="14"/>
        <v>3.2681701626424897</v>
      </c>
    </row>
    <row r="20" spans="1:20">
      <c r="A20">
        <v>259725</v>
      </c>
      <c r="B20" s="2">
        <v>2017</v>
      </c>
      <c r="C20" s="5">
        <v>8024.0230000000001</v>
      </c>
      <c r="D20" s="5"/>
      <c r="E20" s="3">
        <f t="shared" si="10"/>
        <v>1167173.3061150222</v>
      </c>
      <c r="F20" s="4">
        <f t="shared" si="11"/>
        <v>398.52017937219728</v>
      </c>
      <c r="G20" s="8">
        <f t="shared" si="12"/>
        <v>4.4938812440659239</v>
      </c>
      <c r="H20" s="6">
        <v>22.3</v>
      </c>
      <c r="K20">
        <v>4</v>
      </c>
      <c r="M20" s="3">
        <f>K20*(10.18*(1-0.162))*1000</f>
        <v>34123.360000000001</v>
      </c>
      <c r="O20">
        <v>101</v>
      </c>
      <c r="Q20" s="3">
        <f>O20*(8.887*(1-0.099))*1000</f>
        <v>808725.8870000001</v>
      </c>
      <c r="S20" s="3">
        <f t="shared" si="13"/>
        <v>842849.24700000009</v>
      </c>
      <c r="T20" s="10">
        <f t="shared" si="14"/>
        <v>3.2451602541149298</v>
      </c>
    </row>
    <row r="21" spans="1:20">
      <c r="A21">
        <v>259666</v>
      </c>
      <c r="B21">
        <v>2018</v>
      </c>
      <c r="C21" s="5">
        <v>8408</v>
      </c>
      <c r="D21" s="3"/>
      <c r="E21" s="3">
        <f t="shared" si="10"/>
        <v>1212155.2017777779</v>
      </c>
      <c r="F21" s="4">
        <f t="shared" si="11"/>
        <v>394.97777777777776</v>
      </c>
      <c r="G21" s="8">
        <f t="shared" si="12"/>
        <v>4.6681321458249361</v>
      </c>
      <c r="H21" s="6">
        <v>22.5</v>
      </c>
      <c r="K21">
        <v>3</v>
      </c>
      <c r="M21" s="3">
        <f>K21*(10.18*(1-0.185))*1000</f>
        <v>24890.1</v>
      </c>
      <c r="O21">
        <v>82</v>
      </c>
      <c r="Q21" s="3">
        <f>O21*(8.887*(1-0.1))*1000</f>
        <v>655860.6</v>
      </c>
      <c r="S21" s="3">
        <f t="shared" si="13"/>
        <v>680750.7</v>
      </c>
      <c r="T21" s="10">
        <f t="shared" si="14"/>
        <v>2.6216397217964613</v>
      </c>
    </row>
    <row r="22" spans="1:20">
      <c r="A22">
        <v>258826</v>
      </c>
      <c r="B22" s="2">
        <v>2019</v>
      </c>
      <c r="C22" s="5">
        <v>8000</v>
      </c>
      <c r="D22" s="3"/>
      <c r="E22" s="3">
        <f t="shared" si="10"/>
        <v>1168920.7207207207</v>
      </c>
      <c r="F22" s="4">
        <f t="shared" si="11"/>
        <v>400.31531531531533</v>
      </c>
      <c r="G22" s="8">
        <f t="shared" si="12"/>
        <v>4.5162414932067128</v>
      </c>
      <c r="H22" s="6">
        <v>22.2</v>
      </c>
      <c r="K22">
        <v>4</v>
      </c>
      <c r="M22" s="3">
        <f>K22*(10.18*(1-0.269))*1000</f>
        <v>29766.319999999996</v>
      </c>
      <c r="O22">
        <v>96</v>
      </c>
      <c r="Q22" s="3">
        <f>O22*(8.887*(1-0.098))*1000</f>
        <v>769543.10400000005</v>
      </c>
      <c r="S22" s="3">
        <f t="shared" si="13"/>
        <v>799309.424</v>
      </c>
      <c r="T22" s="10">
        <f t="shared" si="14"/>
        <v>3.0882114779813463</v>
      </c>
    </row>
    <row r="23" spans="1:20">
      <c r="A23" t="s">
        <v>7</v>
      </c>
      <c r="C23" s="3"/>
      <c r="D23" s="3"/>
      <c r="E23" s="3"/>
      <c r="F23" s="4"/>
    </row>
    <row r="24" spans="1:20">
      <c r="A24">
        <v>140567</v>
      </c>
      <c r="B24" s="2">
        <v>2014</v>
      </c>
      <c r="C24" s="5">
        <v>3310.3302399999998</v>
      </c>
      <c r="D24" s="5"/>
      <c r="E24" s="3">
        <f t="shared" ref="E24:E29" si="15">C24*1000*365*F24*0.001*0.001</f>
        <v>501700.93121468014</v>
      </c>
      <c r="F24" s="4">
        <f t="shared" ref="F24:F29" si="16">8887/H24</f>
        <v>415.22234930201461</v>
      </c>
      <c r="G24" s="8">
        <f t="shared" ref="G24:G29" si="17">(E24/A24)</f>
        <v>3.5691231314225966</v>
      </c>
      <c r="H24" s="6">
        <v>21.402990506024</v>
      </c>
      <c r="K24">
        <v>3</v>
      </c>
      <c r="M24" s="3">
        <f>K24*((10.18*(1-0.065)))*1000</f>
        <v>28554.9</v>
      </c>
      <c r="O24">
        <v>39</v>
      </c>
      <c r="Q24" s="3">
        <f>O24*(8.887*(1-0.107))*1000</f>
        <v>309507.549</v>
      </c>
      <c r="S24" s="3">
        <f t="shared" ref="S24:S29" si="18">M24+Q24</f>
        <v>338062.44900000002</v>
      </c>
      <c r="T24" s="10">
        <f t="shared" ref="T24:T29" si="19">S24/A24</f>
        <v>2.4049915627423224</v>
      </c>
    </row>
    <row r="25" spans="1:20">
      <c r="A25">
        <v>141096</v>
      </c>
      <c r="B25" s="2">
        <v>2015</v>
      </c>
      <c r="C25" s="5">
        <v>3329.6079999999961</v>
      </c>
      <c r="D25" s="7"/>
      <c r="E25" s="3">
        <f t="shared" si="15"/>
        <v>491390.80769793311</v>
      </c>
      <c r="F25" s="4">
        <f t="shared" si="16"/>
        <v>404.33474014772634</v>
      </c>
      <c r="G25" s="8">
        <f t="shared" si="17"/>
        <v>3.482670009765926</v>
      </c>
      <c r="H25" s="6">
        <v>21.979313468719202</v>
      </c>
      <c r="K25">
        <v>8</v>
      </c>
      <c r="M25" s="3">
        <f>K25*(10.18*(1-0.103))*1000</f>
        <v>73051.680000000008</v>
      </c>
      <c r="O25">
        <v>63</v>
      </c>
      <c r="Q25" s="3">
        <f>O25*(8.887*(1-0.102))*1000</f>
        <v>502773.13800000004</v>
      </c>
      <c r="S25" s="3">
        <f t="shared" si="18"/>
        <v>575824.81800000009</v>
      </c>
      <c r="T25" s="10">
        <f t="shared" si="19"/>
        <v>4.0810853461473044</v>
      </c>
    </row>
    <row r="26" spans="1:20">
      <c r="A26">
        <v>141185</v>
      </c>
      <c r="B26" s="2">
        <v>2016</v>
      </c>
      <c r="C26" s="5">
        <v>3046.3739999999998</v>
      </c>
      <c r="D26" s="5"/>
      <c r="E26" s="3">
        <f t="shared" si="15"/>
        <v>448383.80923376488</v>
      </c>
      <c r="F26" s="4">
        <f t="shared" si="16"/>
        <v>403.24950003554181</v>
      </c>
      <c r="G26" s="8">
        <f t="shared" si="17"/>
        <v>3.1758601071910251</v>
      </c>
      <c r="H26" s="6">
        <v>22.038465017852999</v>
      </c>
      <c r="K26">
        <v>7</v>
      </c>
      <c r="M26" s="3">
        <f>K26*(10.18*(1-0.139))*1000</f>
        <v>61354.859999999993</v>
      </c>
      <c r="O26">
        <v>57</v>
      </c>
      <c r="Q26" s="3">
        <f>O26*(8.887*(1-0.099))*1000</f>
        <v>456409.65899999999</v>
      </c>
      <c r="S26" s="3">
        <f t="shared" si="18"/>
        <v>517764.51899999997</v>
      </c>
      <c r="T26" s="10">
        <f t="shared" si="19"/>
        <v>3.6672771115911744</v>
      </c>
    </row>
    <row r="27" spans="1:20">
      <c r="A27">
        <v>140386</v>
      </c>
      <c r="B27" s="2">
        <v>2017</v>
      </c>
      <c r="C27" s="5">
        <v>2945.9969999999998</v>
      </c>
      <c r="D27" s="5"/>
      <c r="E27" s="3">
        <f t="shared" si="15"/>
        <v>428524.32729753357</v>
      </c>
      <c r="F27" s="4">
        <f t="shared" si="16"/>
        <v>398.52017937219728</v>
      </c>
      <c r="G27" s="8">
        <f t="shared" si="17"/>
        <v>3.0524719508892169</v>
      </c>
      <c r="H27" s="6">
        <v>22.3</v>
      </c>
      <c r="K27">
        <v>7</v>
      </c>
      <c r="M27" s="3">
        <f>K27*(10.18*(1-0.162))*1000</f>
        <v>59715.88</v>
      </c>
      <c r="O27">
        <v>53</v>
      </c>
      <c r="Q27" s="3">
        <f>O27*(8.887*(1-0.099))*1000</f>
        <v>424380.91100000002</v>
      </c>
      <c r="S27" s="3">
        <f t="shared" si="18"/>
        <v>484096.79100000003</v>
      </c>
      <c r="T27" s="10">
        <f t="shared" si="19"/>
        <v>3.4483266921202973</v>
      </c>
    </row>
    <row r="28" spans="1:20">
      <c r="A28">
        <v>139417</v>
      </c>
      <c r="B28">
        <v>2018</v>
      </c>
      <c r="C28" s="5">
        <v>3215</v>
      </c>
      <c r="D28" s="3"/>
      <c r="E28" s="3">
        <f t="shared" si="15"/>
        <v>463496.54777777783</v>
      </c>
      <c r="F28" s="4">
        <f t="shared" si="16"/>
        <v>394.97777777777776</v>
      </c>
      <c r="G28" s="8">
        <f t="shared" si="17"/>
        <v>3.3245339361611412</v>
      </c>
      <c r="H28" s="6">
        <v>22.5</v>
      </c>
      <c r="K28">
        <v>7</v>
      </c>
      <c r="M28" s="3">
        <f>K28*(10.18*(1-0.185))*1000</f>
        <v>58076.899999999994</v>
      </c>
      <c r="O28">
        <v>61</v>
      </c>
      <c r="Q28" s="3">
        <f>O28*(8.887*(1-0.1))*1000</f>
        <v>487896.3</v>
      </c>
      <c r="S28" s="3">
        <f t="shared" si="18"/>
        <v>545973.19999999995</v>
      </c>
      <c r="T28" s="10">
        <f t="shared" si="19"/>
        <v>3.9161163990044252</v>
      </c>
    </row>
    <row r="29" spans="1:20">
      <c r="A29">
        <v>137744</v>
      </c>
      <c r="B29" s="2">
        <v>2019</v>
      </c>
      <c r="C29" s="5">
        <v>3104</v>
      </c>
      <c r="D29" s="3"/>
      <c r="E29" s="3">
        <f t="shared" si="15"/>
        <v>453541.23963963968</v>
      </c>
      <c r="F29" s="4">
        <f t="shared" si="16"/>
        <v>400.31531531531533</v>
      </c>
      <c r="G29" s="8">
        <f t="shared" si="17"/>
        <v>3.2926388056077918</v>
      </c>
      <c r="H29" s="6">
        <v>22.2</v>
      </c>
      <c r="K29">
        <v>7</v>
      </c>
      <c r="M29" s="3">
        <f>K29*(10.18*(1-0.269))*1000</f>
        <v>52091.05999999999</v>
      </c>
      <c r="O29">
        <v>57</v>
      </c>
      <c r="Q29" s="3">
        <f>O29*(8.887*(1-0.098))*1000</f>
        <v>456916.21800000005</v>
      </c>
      <c r="S29" s="3">
        <f t="shared" si="18"/>
        <v>509007.27800000005</v>
      </c>
      <c r="T29" s="10">
        <f t="shared" si="19"/>
        <v>3.6953136107561857</v>
      </c>
    </row>
    <row r="30" spans="1:20">
      <c r="A30" t="s">
        <v>8</v>
      </c>
      <c r="C30" s="3"/>
      <c r="D30" s="3"/>
      <c r="E30" s="3"/>
      <c r="F30" s="4"/>
    </row>
    <row r="31" spans="1:20">
      <c r="A31">
        <v>851116</v>
      </c>
      <c r="B31" s="2">
        <v>2014</v>
      </c>
      <c r="C31" s="5">
        <v>8812.1693259999993</v>
      </c>
      <c r="D31" s="5"/>
      <c r="E31" s="3">
        <f t="shared" ref="E31:E36" si="20">C31*1000*365*F31*0.001*0.001</f>
        <v>1335538.522245938</v>
      </c>
      <c r="F31" s="4">
        <f t="shared" ref="F31:F36" si="21">8887/H31</f>
        <v>415.22234930201461</v>
      </c>
      <c r="G31" s="8">
        <f t="shared" ref="G31:G36" si="22">(E31/A31)</f>
        <v>1.5691615740344889</v>
      </c>
      <c r="H31" s="6">
        <v>21.402990506024</v>
      </c>
      <c r="K31">
        <v>2</v>
      </c>
      <c r="M31" s="3">
        <f>K31*((10.18*(1-0.065)))*1000</f>
        <v>19036.599999999999</v>
      </c>
      <c r="O31">
        <v>102</v>
      </c>
      <c r="Q31" s="3">
        <f>O31*(8.887*(1-0.107))*1000</f>
        <v>809481.28200000012</v>
      </c>
      <c r="S31" s="3">
        <f t="shared" ref="S31:S36" si="23">M31+Q31</f>
        <v>828517.8820000001</v>
      </c>
      <c r="T31" s="10">
        <f t="shared" ref="T31:T36" si="24">S31/A31</f>
        <v>0.97344883893617329</v>
      </c>
    </row>
    <row r="32" spans="1:20">
      <c r="A32">
        <v>863836</v>
      </c>
      <c r="B32" s="2">
        <v>2015</v>
      </c>
      <c r="C32" s="5">
        <v>8843.8579999999529</v>
      </c>
      <c r="D32" s="5"/>
      <c r="E32" s="3">
        <f t="shared" si="20"/>
        <v>1305195.8446116808</v>
      </c>
      <c r="F32" s="4">
        <f t="shared" si="21"/>
        <v>404.33474014772634</v>
      </c>
      <c r="G32" s="8">
        <f t="shared" si="22"/>
        <v>1.510930135594813</v>
      </c>
      <c r="H32" s="6">
        <v>21.979313468719202</v>
      </c>
      <c r="K32">
        <v>6</v>
      </c>
      <c r="M32" s="3">
        <f>K32*(10.18*(1-0.103))*1000</f>
        <v>54788.76</v>
      </c>
      <c r="O32">
        <v>134</v>
      </c>
      <c r="Q32" s="3">
        <f>O32*(8.887*(1-0.102))*1000</f>
        <v>1069390.4839999999</v>
      </c>
      <c r="S32" s="3">
        <f t="shared" si="23"/>
        <v>1124179.2439999999</v>
      </c>
      <c r="T32" s="10">
        <f t="shared" si="24"/>
        <v>1.3013804055399405</v>
      </c>
    </row>
    <row r="33" spans="1:20">
      <c r="A33">
        <v>872795</v>
      </c>
      <c r="B33" s="2">
        <v>2016</v>
      </c>
      <c r="C33" s="5">
        <v>9580.0120000000097</v>
      </c>
      <c r="D33" s="5"/>
      <c r="E33" s="3">
        <f t="shared" si="20"/>
        <v>1410044.2930070907</v>
      </c>
      <c r="F33" s="4">
        <f t="shared" si="21"/>
        <v>403.24950003554181</v>
      </c>
      <c r="G33" s="8">
        <f t="shared" si="22"/>
        <v>1.6155503789630907</v>
      </c>
      <c r="H33" s="6">
        <v>22.038465017852999</v>
      </c>
      <c r="K33">
        <v>6</v>
      </c>
      <c r="M33" s="3">
        <f>K33*(10.18*(1-0.139))*1000</f>
        <v>52589.87999999999</v>
      </c>
      <c r="O33">
        <v>134</v>
      </c>
      <c r="Q33" s="3">
        <f>O33*(8.887*(1-0.099))*1000</f>
        <v>1072963.058</v>
      </c>
      <c r="S33" s="3">
        <f t="shared" si="23"/>
        <v>1125552.9379999998</v>
      </c>
      <c r="T33" s="10">
        <f t="shared" si="24"/>
        <v>1.2895959967690005</v>
      </c>
    </row>
    <row r="34" spans="1:20">
      <c r="A34">
        <v>879166</v>
      </c>
      <c r="B34" s="2">
        <v>2017</v>
      </c>
      <c r="C34" s="5">
        <v>9648.7290000000103</v>
      </c>
      <c r="D34" s="5"/>
      <c r="E34" s="3">
        <f t="shared" si="20"/>
        <v>1403502.8223047103</v>
      </c>
      <c r="F34" s="4">
        <f t="shared" si="21"/>
        <v>398.52017937219728</v>
      </c>
      <c r="G34" s="8">
        <f t="shared" si="22"/>
        <v>1.5964025250120117</v>
      </c>
      <c r="H34" s="6">
        <v>22.3</v>
      </c>
      <c r="K34">
        <v>6</v>
      </c>
      <c r="M34" s="3">
        <f>K34*(10.18*(1-0.162))*1000</f>
        <v>51185.04</v>
      </c>
      <c r="O34">
        <v>134</v>
      </c>
      <c r="Q34" s="3">
        <f>O34*(8.887*(1-0.099))*1000</f>
        <v>1072963.058</v>
      </c>
      <c r="S34" s="3">
        <f t="shared" si="23"/>
        <v>1124148.098</v>
      </c>
      <c r="T34" s="10">
        <f t="shared" si="24"/>
        <v>1.2786528346182633</v>
      </c>
    </row>
    <row r="35" spans="1:20">
      <c r="A35">
        <v>883305</v>
      </c>
      <c r="B35">
        <v>2018</v>
      </c>
      <c r="C35" s="5">
        <v>9096</v>
      </c>
      <c r="D35" s="3"/>
      <c r="E35" s="3">
        <f t="shared" si="20"/>
        <v>1311342.0213333333</v>
      </c>
      <c r="F35" s="4">
        <f t="shared" si="21"/>
        <v>394.97777777777776</v>
      </c>
      <c r="G35" s="8">
        <f t="shared" si="22"/>
        <v>1.4845857561468954</v>
      </c>
      <c r="H35" s="6">
        <v>22.5</v>
      </c>
      <c r="K35">
        <v>5</v>
      </c>
      <c r="M35" s="3">
        <f>K35*(10.18*(1-0.185))*1000</f>
        <v>41483.5</v>
      </c>
      <c r="O35">
        <v>120</v>
      </c>
      <c r="Q35" s="3">
        <f>O35*(8.887*(1-0.1))*1000</f>
        <v>959796</v>
      </c>
      <c r="S35" s="3">
        <f t="shared" si="23"/>
        <v>1001279.5</v>
      </c>
      <c r="T35" s="10">
        <f t="shared" si="24"/>
        <v>1.1335603217461692</v>
      </c>
    </row>
    <row r="36" spans="1:20">
      <c r="A36">
        <v>874961</v>
      </c>
      <c r="B36" s="2">
        <v>2019</v>
      </c>
      <c r="C36" s="5">
        <v>7803</v>
      </c>
      <c r="D36" s="3"/>
      <c r="E36" s="3">
        <f t="shared" si="20"/>
        <v>1140136.047972973</v>
      </c>
      <c r="F36" s="4">
        <f t="shared" si="21"/>
        <v>400.31531531531533</v>
      </c>
      <c r="G36" s="8">
        <f t="shared" si="22"/>
        <v>1.3030707059777213</v>
      </c>
      <c r="H36" s="6">
        <v>22.2</v>
      </c>
      <c r="K36">
        <v>5</v>
      </c>
      <c r="M36" s="3">
        <f>K36*(10.18*(1-0.269))*1000</f>
        <v>37207.899999999994</v>
      </c>
      <c r="O36">
        <v>118</v>
      </c>
      <c r="Q36" s="3">
        <f>O36*(8.887*(1-0.098))*1000</f>
        <v>945896.73200000019</v>
      </c>
      <c r="S36" s="3">
        <f t="shared" si="23"/>
        <v>983104.63200000022</v>
      </c>
      <c r="T36" s="10">
        <f t="shared" si="24"/>
        <v>1.1235982312354496</v>
      </c>
    </row>
    <row r="37" spans="1:20">
      <c r="A37" t="s">
        <v>9</v>
      </c>
      <c r="C37" s="3"/>
      <c r="D37" s="3"/>
      <c r="E37" s="3"/>
      <c r="F37" s="4"/>
    </row>
    <row r="38" spans="1:20">
      <c r="A38">
        <v>757670</v>
      </c>
      <c r="B38" s="2">
        <v>2014</v>
      </c>
      <c r="C38" s="5">
        <v>19079.469289000001</v>
      </c>
      <c r="D38" s="5"/>
      <c r="E38" s="3">
        <f t="shared" ref="E38:E43" si="25">C38*1000*365*F38*0.001*0.001</f>
        <v>2891611.0524891904</v>
      </c>
      <c r="F38" s="4">
        <f t="shared" ref="F38:F43" si="26">8887/H38</f>
        <v>415.22234930201461</v>
      </c>
      <c r="G38" s="8">
        <f t="shared" ref="G38:G43" si="27">(E38/A38)</f>
        <v>3.8164518226789901</v>
      </c>
      <c r="H38" s="6">
        <v>21.402990506024</v>
      </c>
      <c r="K38">
        <v>6</v>
      </c>
      <c r="M38" s="3">
        <f>K38*((10.18*(1-0.065)))*1000</f>
        <v>57109.8</v>
      </c>
      <c r="O38">
        <v>229</v>
      </c>
      <c r="Q38" s="3">
        <f>O38*(8.887*(1-0.107))*1000</f>
        <v>1817364.8390000002</v>
      </c>
      <c r="S38" s="3">
        <f t="shared" ref="S38:S43" si="28">M38+Q38</f>
        <v>1874474.6390000002</v>
      </c>
      <c r="T38" s="10">
        <f t="shared" ref="T38:T43" si="29">S38/A38</f>
        <v>2.4739987580345009</v>
      </c>
    </row>
    <row r="39" spans="1:20">
      <c r="A39">
        <v>765447</v>
      </c>
      <c r="B39" s="2">
        <v>2015</v>
      </c>
      <c r="C39" s="5">
        <v>19531.746999999999</v>
      </c>
      <c r="D39" s="5"/>
      <c r="E39" s="3">
        <f t="shared" si="25"/>
        <v>2882537.8044747887</v>
      </c>
      <c r="F39" s="4">
        <f t="shared" si="26"/>
        <v>404.33474014772634</v>
      </c>
      <c r="G39" s="8">
        <f t="shared" si="27"/>
        <v>3.7658228518431565</v>
      </c>
      <c r="H39" s="6">
        <v>21.979313468719202</v>
      </c>
      <c r="K39">
        <v>19</v>
      </c>
      <c r="M39" s="3">
        <f>K39*(10.18*(1-0.103))*1000</f>
        <v>173497.74000000002</v>
      </c>
      <c r="O39">
        <v>304</v>
      </c>
      <c r="Q39" s="3">
        <f>O39*(8.887*(1-0.102))*1000</f>
        <v>2426079.9040000001</v>
      </c>
      <c r="S39" s="3">
        <f t="shared" si="28"/>
        <v>2599577.6440000003</v>
      </c>
      <c r="T39" s="10">
        <f t="shared" si="29"/>
        <v>3.3961562903767346</v>
      </c>
    </row>
    <row r="40" spans="1:20">
      <c r="A40">
        <v>768204</v>
      </c>
      <c r="B40" s="2">
        <v>2016</v>
      </c>
      <c r="C40" s="5">
        <v>18619.05</v>
      </c>
      <c r="D40" s="5"/>
      <c r="E40" s="3">
        <f t="shared" si="25"/>
        <v>2740464.7503274153</v>
      </c>
      <c r="F40" s="4">
        <f t="shared" si="26"/>
        <v>403.24950003554181</v>
      </c>
      <c r="G40" s="8">
        <f t="shared" si="27"/>
        <v>3.5673658954228502</v>
      </c>
      <c r="H40" s="6">
        <v>22.038465017852999</v>
      </c>
      <c r="K40">
        <v>14</v>
      </c>
      <c r="M40" s="3">
        <f>K40*(10.18*(1-0.139))*1000</f>
        <v>122709.71999999999</v>
      </c>
      <c r="O40">
        <v>325</v>
      </c>
      <c r="Q40" s="3">
        <f>O40*(8.887*(1-0.099))*1000</f>
        <v>2602335.7749999999</v>
      </c>
      <c r="S40" s="3">
        <f t="shared" si="28"/>
        <v>2725045.4950000001</v>
      </c>
      <c r="T40" s="10">
        <f t="shared" si="29"/>
        <v>3.5472940716268075</v>
      </c>
    </row>
    <row r="41" spans="1:20">
      <c r="A41">
        <v>768808</v>
      </c>
      <c r="B41" s="2">
        <v>2017</v>
      </c>
      <c r="C41" s="5">
        <v>18793.98899999999</v>
      </c>
      <c r="D41" s="5"/>
      <c r="E41" s="3">
        <f t="shared" si="25"/>
        <v>2733771.111600671</v>
      </c>
      <c r="F41" s="4">
        <f t="shared" si="26"/>
        <v>398.52017937219728</v>
      </c>
      <c r="G41" s="8">
        <f t="shared" si="27"/>
        <v>3.5558567439473459</v>
      </c>
      <c r="H41" s="6">
        <v>22.3</v>
      </c>
      <c r="K41">
        <v>17</v>
      </c>
      <c r="M41" s="3">
        <f>K41*(10.18*(1-0.162))*1000</f>
        <v>145024.28</v>
      </c>
      <c r="O41">
        <v>326</v>
      </c>
      <c r="Q41" s="3">
        <f>O41*(8.887*(1-0.099))*1000</f>
        <v>2610342.9620000003</v>
      </c>
      <c r="S41" s="3">
        <f t="shared" si="28"/>
        <v>2755367.2420000001</v>
      </c>
      <c r="T41" s="10">
        <f t="shared" si="29"/>
        <v>3.5839471519547144</v>
      </c>
    </row>
    <row r="42" spans="1:20">
      <c r="A42">
        <v>769545</v>
      </c>
      <c r="B42">
        <v>2018</v>
      </c>
      <c r="C42" s="5">
        <v>19288</v>
      </c>
      <c r="D42" s="3"/>
      <c r="E42" s="3">
        <f t="shared" si="25"/>
        <v>2780690.9528888888</v>
      </c>
      <c r="F42" s="4">
        <f t="shared" si="26"/>
        <v>394.97777777777776</v>
      </c>
      <c r="G42" s="8">
        <f t="shared" si="27"/>
        <v>3.6134221558049089</v>
      </c>
      <c r="H42" s="6">
        <v>22.5</v>
      </c>
      <c r="K42">
        <v>17</v>
      </c>
      <c r="M42" s="3">
        <f>K42*(10.18*(1-0.185))*1000</f>
        <v>141043.89999999997</v>
      </c>
      <c r="O42">
        <v>304</v>
      </c>
      <c r="Q42" s="3">
        <f>O42*(8.887*(1-0.1))*1000</f>
        <v>2431483.2000000002</v>
      </c>
      <c r="S42" s="3">
        <f t="shared" si="28"/>
        <v>2572527.1</v>
      </c>
      <c r="T42" s="10">
        <f t="shared" si="29"/>
        <v>3.3429196473240683</v>
      </c>
    </row>
    <row r="43" spans="1:20">
      <c r="A43">
        <v>767423</v>
      </c>
      <c r="B43" s="2">
        <v>2019</v>
      </c>
      <c r="C43" s="5">
        <v>18529</v>
      </c>
      <c r="D43" s="3"/>
      <c r="E43" s="3">
        <f t="shared" si="25"/>
        <v>2707366.5042792792</v>
      </c>
      <c r="F43" s="4">
        <f t="shared" si="26"/>
        <v>400.31531531531533</v>
      </c>
      <c r="G43" s="8">
        <f t="shared" si="27"/>
        <v>3.5278672964965594</v>
      </c>
      <c r="H43" s="6">
        <v>22.2</v>
      </c>
      <c r="K43">
        <v>19</v>
      </c>
      <c r="M43" s="3">
        <f>K43*(10.18*(1-0.269))*1000</f>
        <v>141390.01999999999</v>
      </c>
      <c r="O43">
        <v>322</v>
      </c>
      <c r="Q43" s="3">
        <f>O43*(8.887*(1-0.098))*1000</f>
        <v>2581175.8280000002</v>
      </c>
      <c r="S43" s="3">
        <f t="shared" si="28"/>
        <v>2722565.8480000002</v>
      </c>
      <c r="T43" s="10">
        <f t="shared" si="29"/>
        <v>3.5476729886907226</v>
      </c>
    </row>
    <row r="44" spans="1:20">
      <c r="A44" t="s">
        <v>10</v>
      </c>
      <c r="C44" s="3"/>
      <c r="D44" s="3"/>
      <c r="E44" s="3"/>
      <c r="F44" s="4"/>
    </row>
    <row r="45" spans="1:20">
      <c r="A45">
        <v>1892984</v>
      </c>
      <c r="B45" s="2">
        <v>2014</v>
      </c>
      <c r="C45" s="5">
        <v>42835.778263</v>
      </c>
      <c r="D45" s="5"/>
      <c r="E45" s="3">
        <f t="shared" ref="E45:E50" si="30">C45*1000*365*F45*0.001*0.001</f>
        <v>6492025.9568582056</v>
      </c>
      <c r="F45" s="4">
        <f t="shared" ref="F45:F50" si="31">8887/H45</f>
        <v>415.22234930201461</v>
      </c>
      <c r="G45" s="8">
        <f t="shared" ref="G45:G50" si="32">(E45/A45)</f>
        <v>3.4295197195846376</v>
      </c>
      <c r="H45" s="6">
        <v>21.402990506024</v>
      </c>
      <c r="K45">
        <v>35</v>
      </c>
      <c r="M45" s="3">
        <f>K45*((10.18*(1-0.065)))*1000</f>
        <v>333140.5</v>
      </c>
      <c r="O45">
        <v>661</v>
      </c>
      <c r="Q45" s="3">
        <f>O45*(8.887*(1-0.107))*1000</f>
        <v>5245756.1510000005</v>
      </c>
      <c r="S45" s="3">
        <f t="shared" ref="S45:S50" si="33">M45+Q45</f>
        <v>5578896.6510000005</v>
      </c>
      <c r="T45" s="10">
        <f t="shared" ref="T45:T50" si="34">S45/A45</f>
        <v>2.9471441126813542</v>
      </c>
    </row>
    <row r="46" spans="1:20">
      <c r="A46">
        <v>1917481</v>
      </c>
      <c r="B46" s="2">
        <v>2015</v>
      </c>
      <c r="C46" s="5">
        <v>42893.769</v>
      </c>
      <c r="D46" s="5"/>
      <c r="E46" s="3">
        <f t="shared" si="30"/>
        <v>6330355.9440386342</v>
      </c>
      <c r="F46" s="4">
        <f t="shared" si="31"/>
        <v>404.33474014772634</v>
      </c>
      <c r="G46" s="8">
        <f t="shared" si="32"/>
        <v>3.301391744710187</v>
      </c>
      <c r="H46" s="6">
        <v>21.979313468719202</v>
      </c>
      <c r="K46">
        <v>47</v>
      </c>
      <c r="M46" s="3">
        <f>K46*(10.18*(1-0.103))*1000</f>
        <v>429178.62</v>
      </c>
      <c r="O46">
        <v>727</v>
      </c>
      <c r="Q46" s="3">
        <f>O46*(8.887*(1-0.102))*1000</f>
        <v>5801842.4019999998</v>
      </c>
      <c r="S46" s="3">
        <f t="shared" si="33"/>
        <v>6231021.0219999999</v>
      </c>
      <c r="T46" s="10">
        <f t="shared" si="34"/>
        <v>3.2495868391916267</v>
      </c>
    </row>
    <row r="47" spans="1:20">
      <c r="A47">
        <v>1929581</v>
      </c>
      <c r="B47" s="2">
        <v>2016</v>
      </c>
      <c r="C47" s="5">
        <v>41987.389000000003</v>
      </c>
      <c r="D47" s="5"/>
      <c r="E47" s="3">
        <f t="shared" si="30"/>
        <v>6179958.6720474502</v>
      </c>
      <c r="F47" s="4">
        <f t="shared" si="31"/>
        <v>403.24950003554181</v>
      </c>
      <c r="G47" s="8">
        <f t="shared" si="32"/>
        <v>3.2027464366862288</v>
      </c>
      <c r="H47" s="6">
        <v>22.038465017852999</v>
      </c>
      <c r="K47">
        <v>34</v>
      </c>
      <c r="M47" s="3">
        <f>K47*(10.18*(1-0.139))*1000</f>
        <v>298009.32</v>
      </c>
      <c r="O47">
        <v>717</v>
      </c>
      <c r="Q47" s="3">
        <f>O47*(8.887*(1-0.099))*1000</f>
        <v>5741153.0789999999</v>
      </c>
      <c r="S47" s="3">
        <f t="shared" si="33"/>
        <v>6039162.3990000002</v>
      </c>
      <c r="T47" s="10">
        <f t="shared" si="34"/>
        <v>3.1297791587914685</v>
      </c>
    </row>
    <row r="48" spans="1:20">
      <c r="A48">
        <v>1933383</v>
      </c>
      <c r="B48" s="2">
        <v>2017</v>
      </c>
      <c r="C48" s="5">
        <v>41525.239000000001</v>
      </c>
      <c r="D48" s="5"/>
      <c r="E48" s="3">
        <f t="shared" si="30"/>
        <v>6040255.678584978</v>
      </c>
      <c r="F48" s="4">
        <f t="shared" si="31"/>
        <v>398.52017937219728</v>
      </c>
      <c r="G48" s="8">
        <f t="shared" si="32"/>
        <v>3.1241899192167191</v>
      </c>
      <c r="H48" s="6">
        <v>22.3</v>
      </c>
      <c r="K48">
        <v>36</v>
      </c>
      <c r="M48" s="3">
        <f>K48*(10.18*(1-0.162))*1000</f>
        <v>307110.24</v>
      </c>
      <c r="O48">
        <v>685</v>
      </c>
      <c r="Q48" s="3">
        <f>O48*(8.887*(1-0.099))*1000</f>
        <v>5484923.0949999997</v>
      </c>
      <c r="S48" s="3">
        <f t="shared" si="33"/>
        <v>5792033.335</v>
      </c>
      <c r="T48" s="10">
        <f t="shared" si="34"/>
        <v>2.9958023500775584</v>
      </c>
    </row>
    <row r="49" spans="1:20">
      <c r="A49">
        <v>1937570</v>
      </c>
      <c r="B49">
        <v>2018</v>
      </c>
      <c r="C49" s="5">
        <v>42119</v>
      </c>
      <c r="D49" s="3"/>
      <c r="E49" s="3">
        <f t="shared" si="30"/>
        <v>6072165.1931111105</v>
      </c>
      <c r="F49" s="4">
        <f t="shared" si="31"/>
        <v>394.97777777777776</v>
      </c>
      <c r="G49" s="8">
        <f t="shared" si="32"/>
        <v>3.133907519785665</v>
      </c>
      <c r="H49" s="6">
        <v>22.5</v>
      </c>
      <c r="K49">
        <v>48</v>
      </c>
      <c r="M49" s="3">
        <f>K49*(10.18*(1-0.185))*1000</f>
        <v>398241.6</v>
      </c>
      <c r="O49">
        <v>643</v>
      </c>
      <c r="Q49" s="3">
        <f>O49*(8.887*(1-0.1))*1000</f>
        <v>5142906.9000000004</v>
      </c>
      <c r="S49" s="3">
        <f t="shared" si="33"/>
        <v>5541148.5</v>
      </c>
      <c r="T49" s="10">
        <f t="shared" si="34"/>
        <v>2.8598442894966376</v>
      </c>
    </row>
    <row r="50" spans="1:20">
      <c r="A50">
        <v>1927852</v>
      </c>
      <c r="B50" s="2">
        <v>2019</v>
      </c>
      <c r="C50" s="5">
        <v>39977</v>
      </c>
      <c r="D50" s="3"/>
      <c r="E50" s="3">
        <f t="shared" si="30"/>
        <v>5841242.9565315321</v>
      </c>
      <c r="F50" s="4">
        <f t="shared" si="31"/>
        <v>400.31531531531533</v>
      </c>
      <c r="G50" s="8">
        <f t="shared" si="32"/>
        <v>3.0299229175950915</v>
      </c>
      <c r="H50" s="6">
        <v>22.2</v>
      </c>
      <c r="K50">
        <v>42</v>
      </c>
      <c r="M50" s="3">
        <f>K50*(10.18*(1-0.269))*1000</f>
        <v>312546.36</v>
      </c>
      <c r="O50">
        <v>713</v>
      </c>
      <c r="Q50" s="3">
        <f>O50*(8.887*(1-0.098))*1000</f>
        <v>5715460.762000001</v>
      </c>
      <c r="S50" s="3">
        <f t="shared" si="33"/>
        <v>6028007.1220000014</v>
      </c>
      <c r="T50" s="10">
        <f t="shared" si="34"/>
        <v>3.1267997346269327</v>
      </c>
    </row>
    <row r="51" spans="1:20">
      <c r="A51" t="s">
        <v>11</v>
      </c>
      <c r="C51" s="3"/>
      <c r="D51" s="3"/>
      <c r="E51" s="3"/>
      <c r="F51" s="4"/>
    </row>
    <row r="52" spans="1:20">
      <c r="A52">
        <v>429155</v>
      </c>
      <c r="B52" s="2">
        <v>2014</v>
      </c>
      <c r="C52" s="5">
        <v>12741.0705645</v>
      </c>
      <c r="D52" s="5"/>
      <c r="E52" s="3">
        <f t="shared" ref="E52:E57" si="35">C52*1000*365*F52*0.001*0.001</f>
        <v>1930987.6971312689</v>
      </c>
      <c r="F52" s="4">
        <f t="shared" ref="F52:F57" si="36">8887/H52</f>
        <v>415.22234930201461</v>
      </c>
      <c r="G52" s="8">
        <f t="shared" ref="G52:G57" si="37">(E52/A52)</f>
        <v>4.4995111256568583</v>
      </c>
      <c r="H52" s="6">
        <v>21.402990506024</v>
      </c>
      <c r="K52">
        <v>11</v>
      </c>
      <c r="M52" s="3">
        <f>K52*((10.18*(1-0.065)))*1000</f>
        <v>104701.3</v>
      </c>
      <c r="O52">
        <v>167</v>
      </c>
      <c r="Q52" s="3">
        <f>O52*(8.887*(1-0.107))*1000</f>
        <v>1325327.1970000002</v>
      </c>
      <c r="S52" s="3">
        <f t="shared" ref="S52:S57" si="38">M52+Q52</f>
        <v>1430028.4970000002</v>
      </c>
      <c r="T52" s="10">
        <f t="shared" ref="T52:T57" si="39">S52/A52</f>
        <v>3.3321958196921861</v>
      </c>
    </row>
    <row r="53" spans="1:20">
      <c r="A53">
        <v>433708</v>
      </c>
      <c r="B53" s="2">
        <v>2015</v>
      </c>
      <c r="C53" s="5">
        <v>13153.966999999999</v>
      </c>
      <c r="D53" s="5"/>
      <c r="E53" s="3">
        <f t="shared" si="35"/>
        <v>1941291.1275327199</v>
      </c>
      <c r="F53" s="4">
        <f t="shared" si="36"/>
        <v>404.33474014772634</v>
      </c>
      <c r="G53" s="8">
        <f t="shared" si="37"/>
        <v>4.4760325553891551</v>
      </c>
      <c r="H53" s="6">
        <v>21.979313468719202</v>
      </c>
      <c r="K53">
        <v>18</v>
      </c>
      <c r="M53" s="3">
        <f>K53*(10.18*(1-0.103))*1000</f>
        <v>164366.28000000003</v>
      </c>
      <c r="O53">
        <v>201</v>
      </c>
      <c r="Q53" s="3">
        <f>O53*(8.887*(1-0.102))*1000</f>
        <v>1604085.726</v>
      </c>
      <c r="S53" s="3">
        <f t="shared" si="38"/>
        <v>1768452.0060000001</v>
      </c>
      <c r="T53" s="10">
        <f t="shared" si="39"/>
        <v>4.0775176063157703</v>
      </c>
    </row>
    <row r="54" spans="1:20">
      <c r="A54">
        <v>439300</v>
      </c>
      <c r="B54" s="2">
        <v>2016</v>
      </c>
      <c r="C54" s="5">
        <v>13618.768</v>
      </c>
      <c r="D54" s="5"/>
      <c r="E54" s="3">
        <f t="shared" si="35"/>
        <v>2004492.906291513</v>
      </c>
      <c r="F54" s="4">
        <f t="shared" si="36"/>
        <v>403.24950003554181</v>
      </c>
      <c r="G54" s="8">
        <f t="shared" si="37"/>
        <v>4.5629248948133689</v>
      </c>
      <c r="H54" s="6">
        <v>22.038465017852999</v>
      </c>
      <c r="K54">
        <v>19</v>
      </c>
      <c r="M54" s="3">
        <f>K54*(10.18*(1-0.139))*1000</f>
        <v>166534.62</v>
      </c>
      <c r="O54">
        <v>210</v>
      </c>
      <c r="Q54" s="3">
        <f>O54*(8.887*(1-0.099))*1000</f>
        <v>1681509.27</v>
      </c>
      <c r="S54" s="3">
        <f t="shared" si="38"/>
        <v>1848043.8900000001</v>
      </c>
      <c r="T54" s="10">
        <f t="shared" si="39"/>
        <v>4.2067923742317328</v>
      </c>
    </row>
    <row r="55" spans="1:20">
      <c r="A55">
        <v>443877</v>
      </c>
      <c r="B55" s="2">
        <v>2017</v>
      </c>
      <c r="C55" s="5">
        <v>13631.51</v>
      </c>
      <c r="D55" s="5"/>
      <c r="E55" s="3">
        <f t="shared" si="35"/>
        <v>1982837.6107645738</v>
      </c>
      <c r="F55" s="4">
        <f t="shared" si="36"/>
        <v>398.52017937219728</v>
      </c>
      <c r="G55" s="8">
        <f t="shared" si="37"/>
        <v>4.4670879787972204</v>
      </c>
      <c r="H55" s="6">
        <v>22.3</v>
      </c>
      <c r="K55">
        <v>24</v>
      </c>
      <c r="M55" s="3">
        <f>K55*(10.18*(1-0.162))*1000</f>
        <v>204740.16</v>
      </c>
      <c r="O55">
        <v>217</v>
      </c>
      <c r="Q55" s="3">
        <f>O55*(8.887*(1-0.099))*1000</f>
        <v>1737559.5789999999</v>
      </c>
      <c r="S55" s="3">
        <f t="shared" si="38"/>
        <v>1942299.7389999998</v>
      </c>
      <c r="T55" s="10">
        <f t="shared" si="39"/>
        <v>4.3757611658184583</v>
      </c>
    </row>
    <row r="56" spans="1:20">
      <c r="A56">
        <v>446610</v>
      </c>
      <c r="B56" s="2">
        <v>2018</v>
      </c>
      <c r="C56" s="5">
        <v>14277</v>
      </c>
      <c r="D56" s="3"/>
      <c r="E56" s="3">
        <f t="shared" si="35"/>
        <v>2058270.6726666666</v>
      </c>
      <c r="F56" s="4">
        <f t="shared" si="36"/>
        <v>394.97777777777776</v>
      </c>
      <c r="G56" s="8">
        <f t="shared" si="37"/>
        <v>4.6086533500518723</v>
      </c>
      <c r="H56" s="6">
        <v>22.5</v>
      </c>
      <c r="K56">
        <v>25</v>
      </c>
      <c r="M56" s="3">
        <f>K56*(10.18*(1-0.185))*1000</f>
        <v>207417.5</v>
      </c>
      <c r="O56">
        <v>216</v>
      </c>
      <c r="Q56" s="3">
        <f>O56*(8.887*(1-0.1))*1000</f>
        <v>1727632.8</v>
      </c>
      <c r="S56" s="3">
        <f t="shared" si="38"/>
        <v>1935050.3</v>
      </c>
      <c r="T56" s="10">
        <f t="shared" si="39"/>
        <v>4.3327518416515529</v>
      </c>
    </row>
    <row r="57" spans="1:20">
      <c r="A57">
        <v>447643</v>
      </c>
      <c r="B57" s="2">
        <v>2019</v>
      </c>
      <c r="C57" s="5">
        <v>13840</v>
      </c>
      <c r="D57" s="3"/>
      <c r="E57" s="3">
        <f t="shared" si="35"/>
        <v>2022232.8468468471</v>
      </c>
      <c r="F57" s="4">
        <f t="shared" si="36"/>
        <v>400.31531531531533</v>
      </c>
      <c r="G57" s="8">
        <f t="shared" si="37"/>
        <v>4.5175124973401735</v>
      </c>
      <c r="H57" s="6">
        <v>22.2</v>
      </c>
      <c r="K57">
        <v>27</v>
      </c>
      <c r="M57" s="3">
        <f>K57*(10.18*(1-0.269))*1000</f>
        <v>200922.65999999997</v>
      </c>
      <c r="O57">
        <v>216</v>
      </c>
      <c r="Q57" s="3">
        <f>O57*(8.887*(1-0.098))*1000</f>
        <v>1731471.9840000002</v>
      </c>
      <c r="S57" s="3">
        <f t="shared" si="38"/>
        <v>1932394.6440000001</v>
      </c>
      <c r="T57" s="10">
        <f t="shared" si="39"/>
        <v>4.3168208684152329</v>
      </c>
    </row>
    <row r="58" spans="1:20">
      <c r="A58" t="s">
        <v>12</v>
      </c>
      <c r="C58" s="3"/>
      <c r="D58" s="3"/>
      <c r="E58" s="3"/>
      <c r="F58" s="4"/>
    </row>
    <row r="59" spans="1:20">
      <c r="A59">
        <v>498803</v>
      </c>
      <c r="B59" s="2">
        <v>2014</v>
      </c>
      <c r="C59" s="5">
        <v>11461.96881</v>
      </c>
      <c r="D59" s="5"/>
      <c r="E59" s="3">
        <f t="shared" ref="E59:E64" si="40">C59*1000*365*F59*0.001*0.001</f>
        <v>1737131.9501738353</v>
      </c>
      <c r="F59" s="4">
        <f t="shared" ref="F59:F64" si="41">8887/H59</f>
        <v>415.22234930201461</v>
      </c>
      <c r="G59" s="8">
        <f t="shared" ref="G59:G64" si="42">(E59/A59)</f>
        <v>3.4826012477347477</v>
      </c>
      <c r="H59" s="6">
        <v>21.402990506024</v>
      </c>
      <c r="K59">
        <v>17</v>
      </c>
      <c r="M59" s="3">
        <f>K59*((10.18*(1-0.065)))*1000</f>
        <v>161811.1</v>
      </c>
      <c r="O59">
        <v>210</v>
      </c>
      <c r="Q59" s="3">
        <f>O59*(8.887*(1-0.107))*1000</f>
        <v>1666579.11</v>
      </c>
      <c r="S59" s="3">
        <f t="shared" ref="S59:S64" si="43">M59+Q59</f>
        <v>1828390.2100000002</v>
      </c>
      <c r="T59" s="10">
        <f t="shared" ref="T59:T64" si="44">S59/A59</f>
        <v>3.6655557604906148</v>
      </c>
    </row>
    <row r="60" spans="1:20">
      <c r="A60">
        <v>501346</v>
      </c>
      <c r="B60" s="2">
        <v>2015</v>
      </c>
      <c r="C60" s="5">
        <v>11448.568999999992</v>
      </c>
      <c r="D60" s="5"/>
      <c r="E60" s="3">
        <f t="shared" si="40"/>
        <v>1689604.7726625842</v>
      </c>
      <c r="F60" s="4">
        <f t="shared" si="41"/>
        <v>404.33474014772634</v>
      </c>
      <c r="G60" s="8">
        <f t="shared" si="42"/>
        <v>3.3701371361546402</v>
      </c>
      <c r="H60" s="6">
        <v>21.979313468719202</v>
      </c>
      <c r="K60">
        <v>20</v>
      </c>
      <c r="M60" s="3">
        <f>K60*(10.18*(1-0.103))*1000</f>
        <v>182629.2</v>
      </c>
      <c r="O60">
        <v>201</v>
      </c>
      <c r="Q60" s="3">
        <f>O60*(8.887*(1-0.102))*1000</f>
        <v>1604085.726</v>
      </c>
      <c r="S60" s="3">
        <f t="shared" si="43"/>
        <v>1786714.926</v>
      </c>
      <c r="T60" s="10">
        <f t="shared" si="44"/>
        <v>3.5638360054732661</v>
      </c>
    </row>
    <row r="61" spans="1:20">
      <c r="A61">
        <v>503249</v>
      </c>
      <c r="B61" s="2">
        <v>2016</v>
      </c>
      <c r="C61" s="5">
        <v>11950.932999999999</v>
      </c>
      <c r="D61" s="5"/>
      <c r="E61" s="3">
        <f t="shared" si="40"/>
        <v>1759010.8313810141</v>
      </c>
      <c r="F61" s="4">
        <f t="shared" si="41"/>
        <v>403.24950003554181</v>
      </c>
      <c r="G61" s="8">
        <f t="shared" si="42"/>
        <v>3.4953091439446755</v>
      </c>
      <c r="H61" s="6">
        <v>22.038465017852999</v>
      </c>
      <c r="K61">
        <v>23</v>
      </c>
      <c r="M61" s="3">
        <f>K61*(10.18*(1-0.139))*1000</f>
        <v>201594.54</v>
      </c>
      <c r="O61">
        <v>209</v>
      </c>
      <c r="Q61" s="3">
        <f>O61*(8.887*(1-0.099))*1000</f>
        <v>1673502.0830000001</v>
      </c>
      <c r="S61" s="3">
        <f t="shared" si="43"/>
        <v>1875096.6230000001</v>
      </c>
      <c r="T61" s="10">
        <f t="shared" si="44"/>
        <v>3.7259818161586016</v>
      </c>
    </row>
    <row r="62" spans="1:20">
      <c r="A62">
        <v>503246</v>
      </c>
      <c r="B62" s="2">
        <v>2017</v>
      </c>
      <c r="C62" s="5">
        <v>12131.831</v>
      </c>
      <c r="D62" s="5"/>
      <c r="E62" s="3">
        <f t="shared" si="40"/>
        <v>1764694.505175112</v>
      </c>
      <c r="F62" s="4">
        <f t="shared" si="41"/>
        <v>398.52017937219728</v>
      </c>
      <c r="G62" s="8">
        <f t="shared" si="42"/>
        <v>3.506624007294866</v>
      </c>
      <c r="H62" s="6">
        <v>22.3</v>
      </c>
      <c r="K62">
        <v>23</v>
      </c>
      <c r="M62" s="3">
        <f>K62*(10.18*(1-0.162))*1000</f>
        <v>196209.31999999998</v>
      </c>
      <c r="O62">
        <v>208</v>
      </c>
      <c r="Q62" s="3">
        <f>O62*(8.887*(1-0.099))*1000</f>
        <v>1665494.8959999999</v>
      </c>
      <c r="S62" s="3">
        <f t="shared" si="43"/>
        <v>1861704.216</v>
      </c>
      <c r="T62" s="10">
        <f t="shared" si="44"/>
        <v>3.6993919792705756</v>
      </c>
    </row>
    <row r="63" spans="1:20">
      <c r="A63">
        <v>499942</v>
      </c>
      <c r="B63" s="2">
        <v>2018</v>
      </c>
      <c r="C63" s="5">
        <v>12525</v>
      </c>
      <c r="D63" s="3"/>
      <c r="E63" s="3">
        <f t="shared" si="40"/>
        <v>1805690.2833333332</v>
      </c>
      <c r="F63" s="4">
        <f t="shared" si="41"/>
        <v>394.97777777777776</v>
      </c>
      <c r="G63" s="8">
        <f t="shared" si="42"/>
        <v>3.6117995354127741</v>
      </c>
      <c r="H63" s="6">
        <v>22.5</v>
      </c>
      <c r="K63">
        <v>22</v>
      </c>
      <c r="M63" s="3">
        <f>K63*(10.18*(1-0.185))*1000</f>
        <v>182527.4</v>
      </c>
      <c r="O63">
        <v>192</v>
      </c>
      <c r="Q63" s="3">
        <f>O63*(8.887*(1-0.1))*1000</f>
        <v>1535673.6</v>
      </c>
      <c r="S63" s="3">
        <f t="shared" si="43"/>
        <v>1718201</v>
      </c>
      <c r="T63" s="10">
        <f t="shared" si="44"/>
        <v>3.4368006688775896</v>
      </c>
    </row>
    <row r="64" spans="1:20">
      <c r="A64">
        <v>494336</v>
      </c>
      <c r="B64" s="2">
        <v>2019</v>
      </c>
      <c r="C64" s="5">
        <v>11865</v>
      </c>
      <c r="E64" s="3">
        <f t="shared" si="40"/>
        <v>1733655.5439189191</v>
      </c>
      <c r="F64" s="4">
        <f t="shared" si="41"/>
        <v>400.31531531531533</v>
      </c>
      <c r="G64" s="8">
        <f t="shared" si="42"/>
        <v>3.5070388236319405</v>
      </c>
      <c r="H64" s="6">
        <v>22.2</v>
      </c>
      <c r="K64">
        <v>32</v>
      </c>
      <c r="M64" s="3">
        <f>K64*(10.18*(1-0.269))*1000</f>
        <v>238130.55999999997</v>
      </c>
      <c r="O64">
        <v>204</v>
      </c>
      <c r="Q64" s="3">
        <f>O64*(8.887*(1-0.098))*1000</f>
        <v>1635279.0960000001</v>
      </c>
      <c r="S64" s="3">
        <f t="shared" si="43"/>
        <v>1873409.6560000002</v>
      </c>
      <c r="T64" s="10">
        <f t="shared" si="44"/>
        <v>3.7897495954168829</v>
      </c>
    </row>
    <row r="66" spans="1:20">
      <c r="A66" t="s">
        <v>27</v>
      </c>
    </row>
    <row r="67" spans="1:20">
      <c r="A67">
        <f t="shared" ref="A67:A72" si="45">A3+A10+A17+A24+A31+A38+A45+A52+A59</f>
        <v>7548762</v>
      </c>
      <c r="B67" s="2">
        <v>2014</v>
      </c>
      <c r="C67" s="3">
        <f t="shared" ref="C67:C72" si="46">C3+C10+C17+C24+C31+C38+C45+C52+C59</f>
        <v>169981.1890055</v>
      </c>
      <c r="E67" s="3">
        <f t="shared" ref="E67:E72" si="47">E3+E10+E17+E24+E31+E38+E45+E52+E59</f>
        <v>25761695.852144927</v>
      </c>
      <c r="F67" s="4">
        <f t="shared" ref="F67:F72" si="48">8887/H67</f>
        <v>415.22234930201461</v>
      </c>
      <c r="G67" s="8">
        <f t="shared" ref="G67:G72" si="49">(E67/A67)</f>
        <v>3.4127047391539072</v>
      </c>
      <c r="H67" s="6">
        <v>21.402990506024</v>
      </c>
      <c r="M67" s="3">
        <f t="shared" ref="M67:M72" si="50">M3+M10+M17+M24+M31+M38+M45+M52+M59</f>
        <v>1142196</v>
      </c>
      <c r="Q67" s="3">
        <f t="shared" ref="Q67:Q72" si="51">Q3+Q10+Q17+Q24+Q31+Q38+Q45+Q52+Q59</f>
        <v>18776791.305999998</v>
      </c>
      <c r="S67" s="3">
        <f t="shared" ref="S67:S72" si="52">S3+S10+S17+S24+S31+S38+S45+S52+S59</f>
        <v>19918987.306000002</v>
      </c>
      <c r="T67" s="10">
        <f t="shared" ref="T67:T72" si="53">S67/A67</f>
        <v>2.6387091427706957</v>
      </c>
    </row>
    <row r="68" spans="1:20">
      <c r="A68">
        <f t="shared" si="45"/>
        <v>7643170</v>
      </c>
      <c r="B68" s="2">
        <v>2015</v>
      </c>
      <c r="C68" s="3">
        <f t="shared" si="46"/>
        <v>171971.01499999993</v>
      </c>
      <c r="E68" s="3">
        <f t="shared" si="47"/>
        <v>25379857.316982489</v>
      </c>
      <c r="F68" s="4">
        <f t="shared" si="48"/>
        <v>404.33474014772634</v>
      </c>
      <c r="G68" s="8">
        <f t="shared" si="49"/>
        <v>3.3205930676646584</v>
      </c>
      <c r="H68" s="6">
        <v>21.979313468719202</v>
      </c>
      <c r="M68" s="3">
        <f t="shared" si="50"/>
        <v>1771503.2400000002</v>
      </c>
      <c r="Q68" s="3">
        <f t="shared" si="51"/>
        <v>21204257.581999999</v>
      </c>
      <c r="S68" s="3">
        <f t="shared" si="52"/>
        <v>22975760.822000001</v>
      </c>
      <c r="T68" s="10">
        <f t="shared" si="53"/>
        <v>3.0060512617147075</v>
      </c>
    </row>
    <row r="69" spans="1:20">
      <c r="A69">
        <f t="shared" si="45"/>
        <v>7702447</v>
      </c>
      <c r="B69" s="2">
        <v>2016</v>
      </c>
      <c r="C69" s="3">
        <f t="shared" si="46"/>
        <v>172648.40700000001</v>
      </c>
      <c r="E69" s="3">
        <f t="shared" si="47"/>
        <v>25411440.088709202</v>
      </c>
      <c r="F69" s="4">
        <f t="shared" si="48"/>
        <v>403.24950003554181</v>
      </c>
      <c r="G69" s="8">
        <f t="shared" si="49"/>
        <v>3.2991385839732752</v>
      </c>
      <c r="H69" s="6">
        <v>22.038465017852999</v>
      </c>
      <c r="M69" s="3">
        <f t="shared" si="50"/>
        <v>1639051.2599999998</v>
      </c>
      <c r="Q69" s="3">
        <f t="shared" si="51"/>
        <v>22155886.428999998</v>
      </c>
      <c r="S69" s="3">
        <f t="shared" si="52"/>
        <v>23794937.688999999</v>
      </c>
      <c r="T69" s="10">
        <f t="shared" si="53"/>
        <v>3.0892699020194492</v>
      </c>
    </row>
    <row r="70" spans="1:20">
      <c r="A70">
        <f t="shared" si="45"/>
        <v>7731585</v>
      </c>
      <c r="B70" s="2">
        <v>2017</v>
      </c>
      <c r="C70" s="3">
        <f t="shared" si="46"/>
        <v>172665.83000000002</v>
      </c>
      <c r="E70" s="3">
        <f t="shared" si="47"/>
        <v>25115948.403213006</v>
      </c>
      <c r="F70" s="4">
        <f t="shared" si="48"/>
        <v>398.52017937219728</v>
      </c>
      <c r="G70" s="8">
        <f t="shared" si="49"/>
        <v>3.2484863586461254</v>
      </c>
      <c r="H70" s="6">
        <v>22.3</v>
      </c>
      <c r="M70" s="3">
        <f t="shared" si="50"/>
        <v>1731760.52</v>
      </c>
      <c r="Q70" s="3">
        <f t="shared" si="51"/>
        <v>21915670.819000002</v>
      </c>
      <c r="S70" s="3">
        <f t="shared" si="52"/>
        <v>23647431.339000002</v>
      </c>
      <c r="T70" s="10">
        <f t="shared" si="53"/>
        <v>3.058548970101215</v>
      </c>
    </row>
    <row r="71" spans="1:20">
      <c r="A71">
        <f t="shared" si="45"/>
        <v>7753023</v>
      </c>
      <c r="B71" s="2">
        <v>2018</v>
      </c>
      <c r="C71" s="3">
        <f t="shared" si="46"/>
        <v>175103.16</v>
      </c>
      <c r="E71" s="3">
        <f t="shared" si="47"/>
        <v>25244077.811813332</v>
      </c>
      <c r="F71" s="4">
        <f t="shared" si="48"/>
        <v>394.97777777777776</v>
      </c>
      <c r="G71" s="8">
        <f t="shared" si="49"/>
        <v>3.2560303009307896</v>
      </c>
      <c r="H71" s="6">
        <v>22.5</v>
      </c>
      <c r="M71" s="3">
        <f t="shared" si="50"/>
        <v>1850164.0999999996</v>
      </c>
      <c r="Q71" s="3">
        <f t="shared" si="51"/>
        <v>20667607.200000007</v>
      </c>
      <c r="S71" s="3">
        <f t="shared" si="52"/>
        <v>22517771.300000001</v>
      </c>
      <c r="T71" s="10">
        <f t="shared" si="53"/>
        <v>2.9043859795076066</v>
      </c>
    </row>
    <row r="72" spans="1:20">
      <c r="A72">
        <f t="shared" si="45"/>
        <v>7733640</v>
      </c>
      <c r="B72" s="2">
        <v>2019</v>
      </c>
      <c r="C72" s="3">
        <f t="shared" si="46"/>
        <v>165328.70000000001</v>
      </c>
      <c r="E72" s="3">
        <f t="shared" si="47"/>
        <v>24157017.89497748</v>
      </c>
      <c r="F72" s="4">
        <f t="shared" si="48"/>
        <v>400.31531531531533</v>
      </c>
      <c r="G72" s="8">
        <f t="shared" si="49"/>
        <v>3.1236284459811268</v>
      </c>
      <c r="H72" s="6">
        <v>22.2</v>
      </c>
      <c r="M72" s="3">
        <f t="shared" si="50"/>
        <v>1622264.4399999997</v>
      </c>
      <c r="Q72" s="3">
        <f t="shared" si="51"/>
        <v>21996107.056000005</v>
      </c>
      <c r="S72" s="3">
        <f t="shared" si="52"/>
        <v>23618371.496000007</v>
      </c>
      <c r="T72" s="10">
        <f t="shared" si="53"/>
        <v>3.0539786563636278</v>
      </c>
    </row>
    <row r="73" spans="1:20">
      <c r="E73" s="35"/>
      <c r="S73" t="s">
        <v>201</v>
      </c>
    </row>
    <row r="74" spans="1:20">
      <c r="E74" s="35"/>
    </row>
    <row r="75" spans="1:20">
      <c r="A75" t="s">
        <v>146</v>
      </c>
    </row>
    <row r="76" spans="1:20">
      <c r="A76" t="s">
        <v>22</v>
      </c>
    </row>
    <row r="77" spans="1:20">
      <c r="A77" t="s">
        <v>20</v>
      </c>
    </row>
    <row r="78" spans="1:20">
      <c r="A78" t="s">
        <v>147</v>
      </c>
    </row>
    <row r="79" spans="1:20">
      <c r="A79"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9A36C-C0CF-6947-ABC5-59A74152BB7C}">
  <dimension ref="A1:R93"/>
  <sheetViews>
    <sheetView zoomScale="98" zoomScaleNormal="110" workbookViewId="0">
      <pane xSplit="2" ySplit="2" topLeftCell="S30" activePane="bottomRight" state="frozen"/>
      <selection pane="topRight" activeCell="C1" sqref="C1"/>
      <selection pane="bottomLeft" activeCell="A3" sqref="A3"/>
      <selection pane="bottomRight" activeCell="P73" sqref="P73"/>
    </sheetView>
  </sheetViews>
  <sheetFormatPr defaultColWidth="10.58203125" defaultRowHeight="15.5"/>
  <cols>
    <col min="1" max="1" width="24.33203125" style="27" customWidth="1"/>
    <col min="2" max="2" width="12" style="42" customWidth="1"/>
    <col min="3" max="3" width="10.58203125" style="27"/>
    <col min="4" max="4" width="10.83203125" style="28"/>
    <col min="5" max="5" width="5.83203125" style="27" customWidth="1"/>
    <col min="6" max="6" width="10.83203125" style="28"/>
    <col min="7" max="9" width="16.83203125" style="27" customWidth="1"/>
    <col min="10" max="10" width="13.5" style="39" customWidth="1"/>
    <col min="11" max="11" width="12.83203125" style="27" customWidth="1"/>
    <col min="12" max="12" width="13.5" style="38" customWidth="1"/>
    <col min="13" max="15" width="13.5" style="28" customWidth="1"/>
    <col min="16" max="16" width="10.83203125" style="29"/>
    <col min="17" max="17" width="10.58203125" style="27"/>
    <col min="18" max="18" width="10.83203125" style="29"/>
    <col min="19" max="16384" width="10.58203125" style="27"/>
  </cols>
  <sheetData>
    <row r="1" spans="1:18" ht="15" customHeight="1">
      <c r="A1" s="41" t="s">
        <v>14</v>
      </c>
      <c r="C1" s="41"/>
      <c r="D1" s="43" t="s">
        <v>2</v>
      </c>
      <c r="E1" s="43"/>
      <c r="F1" s="44" t="s">
        <v>135</v>
      </c>
      <c r="G1" s="43" t="s">
        <v>37</v>
      </c>
      <c r="H1" s="45" t="s">
        <v>89</v>
      </c>
      <c r="I1" s="46" t="s">
        <v>137</v>
      </c>
      <c r="J1" s="43" t="s">
        <v>128</v>
      </c>
      <c r="K1" s="43" t="s">
        <v>60</v>
      </c>
      <c r="L1" s="47" t="s">
        <v>57</v>
      </c>
      <c r="M1" s="44" t="s">
        <v>89</v>
      </c>
      <c r="N1" s="44" t="s">
        <v>138</v>
      </c>
      <c r="O1" s="48" t="s">
        <v>59</v>
      </c>
      <c r="P1" s="48" t="s">
        <v>59</v>
      </c>
      <c r="Q1" s="43"/>
      <c r="R1" s="49" t="s">
        <v>61</v>
      </c>
    </row>
    <row r="2" spans="1:18">
      <c r="A2" s="27" t="s">
        <v>0</v>
      </c>
      <c r="D2" s="28" t="s">
        <v>129</v>
      </c>
      <c r="E2" s="28"/>
      <c r="F2" s="43" t="s">
        <v>16</v>
      </c>
      <c r="G2" s="28" t="s">
        <v>36</v>
      </c>
      <c r="H2" s="47" t="s">
        <v>16</v>
      </c>
      <c r="I2" s="28" t="s">
        <v>36</v>
      </c>
      <c r="J2" s="43" t="s">
        <v>16</v>
      </c>
      <c r="K2" s="28" t="s">
        <v>36</v>
      </c>
      <c r="L2" s="47" t="s">
        <v>58</v>
      </c>
      <c r="M2" s="43" t="s">
        <v>38</v>
      </c>
      <c r="N2" s="43" t="s">
        <v>38</v>
      </c>
      <c r="O2" s="43" t="s">
        <v>38</v>
      </c>
      <c r="P2" s="48" t="s">
        <v>108</v>
      </c>
      <c r="Q2" s="44"/>
      <c r="R2" s="48" t="s">
        <v>62</v>
      </c>
    </row>
    <row r="3" spans="1:18">
      <c r="A3" s="27">
        <v>1608674</v>
      </c>
      <c r="C3" s="27">
        <v>2014</v>
      </c>
      <c r="D3" s="28">
        <v>10299</v>
      </c>
      <c r="E3" s="28"/>
      <c r="F3" s="28">
        <f>(9167591.50610658/1000)</f>
        <v>9167.5915061065789</v>
      </c>
      <c r="G3" s="28">
        <v>435</v>
      </c>
      <c r="H3" s="28">
        <f t="shared" ref="H3:H8" si="0">D3-F3-J3</f>
        <v>1131.4084938934211</v>
      </c>
      <c r="I3" s="28">
        <v>943.58</v>
      </c>
      <c r="M3" s="28">
        <f>H3*0.428*1000</f>
        <v>484242.83538638422</v>
      </c>
      <c r="N3" s="28">
        <f t="shared" ref="N3:N8" si="1">F3*(G3/2204.6)*1000</f>
        <v>1808900.6192308636</v>
      </c>
      <c r="O3" s="28">
        <f t="shared" ref="O3:O8" si="2">L3+M3+N3</f>
        <v>2293143.4546172479</v>
      </c>
      <c r="P3" s="29">
        <f t="shared" ref="P3:P8" si="3">(L3+M3+N3)/1000000</f>
        <v>2.293143454617248</v>
      </c>
      <c r="Q3" s="28"/>
      <c r="R3" s="29">
        <f t="shared" ref="R3:R8" si="4">(P3/A3)*1000000</f>
        <v>1.4254867391511568</v>
      </c>
    </row>
    <row r="4" spans="1:18">
      <c r="A4" s="27">
        <v>1634634</v>
      </c>
      <c r="C4" s="27">
        <v>2015</v>
      </c>
      <c r="D4" s="28">
        <v>10235</v>
      </c>
      <c r="E4" s="28"/>
      <c r="F4" s="30">
        <v>9112.3822052271898</v>
      </c>
      <c r="G4" s="28">
        <v>405</v>
      </c>
      <c r="H4" s="28">
        <f t="shared" si="0"/>
        <v>1122.6177947728102</v>
      </c>
      <c r="I4" s="28">
        <v>943.58</v>
      </c>
      <c r="K4" s="28"/>
      <c r="M4" s="28">
        <f>H4*0.428*1000</f>
        <v>480480.41616276279</v>
      </c>
      <c r="N4" s="28">
        <f t="shared" si="1"/>
        <v>1674006.5286750484</v>
      </c>
      <c r="O4" s="28">
        <f t="shared" si="2"/>
        <v>2154486.9448378114</v>
      </c>
      <c r="P4" s="29">
        <f t="shared" si="3"/>
        <v>2.1544869448378114</v>
      </c>
      <c r="Q4" s="28"/>
      <c r="R4" s="29">
        <f t="shared" si="4"/>
        <v>1.3180240621679296</v>
      </c>
    </row>
    <row r="5" spans="1:18">
      <c r="A5" s="27">
        <v>1650306</v>
      </c>
      <c r="C5" s="27">
        <v>2016</v>
      </c>
      <c r="D5" s="28">
        <v>10791</v>
      </c>
      <c r="E5" s="28"/>
      <c r="F5" s="28">
        <v>9017.536529090401</v>
      </c>
      <c r="G5" s="28">
        <v>294</v>
      </c>
      <c r="H5" s="28">
        <f t="shared" si="0"/>
        <v>1773.463470909599</v>
      </c>
      <c r="I5" s="28">
        <v>943.58</v>
      </c>
      <c r="J5" s="26"/>
      <c r="K5" s="28"/>
      <c r="M5" s="28">
        <f t="shared" ref="M5:M36" si="5">H5*0.428*1000</f>
        <v>759042.36554930836</v>
      </c>
      <c r="N5" s="28">
        <f t="shared" si="1"/>
        <v>1202556.3546913627</v>
      </c>
      <c r="O5" s="28">
        <f t="shared" si="2"/>
        <v>1961598.7202406712</v>
      </c>
      <c r="P5" s="29">
        <f t="shared" si="3"/>
        <v>1.9615987202406713</v>
      </c>
      <c r="Q5" s="28"/>
      <c r="R5" s="29">
        <f t="shared" si="4"/>
        <v>1.1886272729061589</v>
      </c>
    </row>
    <row r="6" spans="1:18">
      <c r="A6" s="27">
        <v>1658131</v>
      </c>
      <c r="C6" s="27">
        <v>2017</v>
      </c>
      <c r="D6" s="28">
        <v>11079</v>
      </c>
      <c r="E6" s="28"/>
      <c r="F6" s="28">
        <v>8968.7628328050796</v>
      </c>
      <c r="G6" s="28">
        <v>210</v>
      </c>
      <c r="H6" s="28">
        <f t="shared" si="0"/>
        <v>2110.2371671949204</v>
      </c>
      <c r="I6" s="28">
        <v>943.58</v>
      </c>
      <c r="J6" s="26"/>
      <c r="K6" s="28"/>
      <c r="M6" s="28">
        <f t="shared" si="5"/>
        <v>903181.5075594259</v>
      </c>
      <c r="N6" s="28">
        <f t="shared" si="1"/>
        <v>854322.86804366624</v>
      </c>
      <c r="O6" s="28">
        <f t="shared" si="2"/>
        <v>1757504.3756030921</v>
      </c>
      <c r="P6" s="29">
        <f t="shared" si="3"/>
        <v>1.7575043756030921</v>
      </c>
      <c r="Q6" s="28"/>
      <c r="R6" s="29">
        <f t="shared" si="4"/>
        <v>1.0599309557586778</v>
      </c>
    </row>
    <row r="7" spans="1:18">
      <c r="A7" s="27">
        <v>1666753</v>
      </c>
      <c r="B7" s="42" t="s">
        <v>51</v>
      </c>
      <c r="C7" s="27">
        <v>2018</v>
      </c>
      <c r="D7" s="28">
        <v>10391</v>
      </c>
      <c r="E7" s="28"/>
      <c r="F7" s="28">
        <f>8668.84167084253-J7</f>
        <v>6381.8616708425307</v>
      </c>
      <c r="G7" s="28">
        <v>206</v>
      </c>
      <c r="H7" s="28">
        <f t="shared" si="0"/>
        <v>1722.1583291574693</v>
      </c>
      <c r="I7" s="28">
        <v>943.58</v>
      </c>
      <c r="J7" s="26">
        <v>2286.98</v>
      </c>
      <c r="K7" s="28">
        <v>82.62</v>
      </c>
      <c r="L7" s="28">
        <f>J7*(K7/2204.6)*1000</f>
        <v>85707.288215549313</v>
      </c>
      <c r="M7" s="28">
        <f t="shared" si="5"/>
        <v>737083.76487939688</v>
      </c>
      <c r="N7" s="28">
        <f t="shared" si="1"/>
        <v>596327.45359410392</v>
      </c>
      <c r="O7" s="28">
        <f t="shared" si="2"/>
        <v>1419118.5066890502</v>
      </c>
      <c r="P7" s="29">
        <f t="shared" si="3"/>
        <v>1.4191185066890502</v>
      </c>
      <c r="Q7" s="28"/>
      <c r="R7" s="29">
        <f t="shared" si="4"/>
        <v>0.85142700009482519</v>
      </c>
    </row>
    <row r="8" spans="1:18">
      <c r="A8" s="27">
        <v>1671329</v>
      </c>
      <c r="C8" s="27">
        <v>2019</v>
      </c>
      <c r="D8" s="28">
        <v>10684</v>
      </c>
      <c r="E8" s="28"/>
      <c r="F8" s="28">
        <f>8616.842195-J8</f>
        <v>2795.4131949999992</v>
      </c>
      <c r="G8" s="28">
        <v>3</v>
      </c>
      <c r="H8" s="28">
        <f t="shared" si="0"/>
        <v>2067.1578050000007</v>
      </c>
      <c r="I8" s="28">
        <v>943.58</v>
      </c>
      <c r="J8" s="26">
        <f>(39748+892632+4889049)/1000</f>
        <v>5821.4290000000001</v>
      </c>
      <c r="K8" s="28">
        <f>'electricity - CO2e'!V51</f>
        <v>113.05</v>
      </c>
      <c r="L8" s="28">
        <f>J8*(K8/2204.6)*1000</f>
        <v>298517.89369953738</v>
      </c>
      <c r="M8" s="28">
        <f t="shared" si="5"/>
        <v>884743.54054000031</v>
      </c>
      <c r="N8" s="28">
        <f t="shared" si="1"/>
        <v>3803.973321691009</v>
      </c>
      <c r="O8" s="28">
        <f t="shared" si="2"/>
        <v>1187065.4075612286</v>
      </c>
      <c r="P8" s="29">
        <f t="shared" si="3"/>
        <v>1.1870654075612286</v>
      </c>
      <c r="Q8" s="28"/>
      <c r="R8" s="29">
        <f t="shared" si="4"/>
        <v>0.71025238451629136</v>
      </c>
    </row>
    <row r="9" spans="1:18">
      <c r="A9" s="27" t="s">
        <v>5</v>
      </c>
      <c r="E9" s="28"/>
      <c r="G9" s="28"/>
      <c r="H9" s="28"/>
      <c r="I9" s="28"/>
      <c r="J9" s="26"/>
      <c r="K9" s="28"/>
      <c r="Q9" s="28"/>
    </row>
    <row r="10" spans="1:18">
      <c r="A10" s="27">
        <v>1109358</v>
      </c>
      <c r="C10" s="27">
        <v>2014</v>
      </c>
      <c r="D10" s="28">
        <v>9588</v>
      </c>
      <c r="E10" s="28"/>
      <c r="F10" s="28">
        <f>6197.238370277-J10</f>
        <v>5812.3152691530413</v>
      </c>
      <c r="G10" s="28">
        <v>435</v>
      </c>
      <c r="H10" s="28">
        <f t="shared" ref="H10:H15" si="6">D10-F10-J10</f>
        <v>3390.7616297229997</v>
      </c>
      <c r="I10" s="28">
        <v>943.58</v>
      </c>
      <c r="J10" s="26">
        <f>(384923.101123959)/1000</f>
        <v>384.92310112395899</v>
      </c>
      <c r="K10" s="28">
        <v>324</v>
      </c>
      <c r="L10" s="28">
        <f t="shared" ref="L10:L12" si="7">J10*(K10/2204.6)*1000</f>
        <v>56570.391347256969</v>
      </c>
      <c r="M10" s="28">
        <f t="shared" si="5"/>
        <v>1451245.9775214437</v>
      </c>
      <c r="N10" s="28">
        <f t="shared" ref="N10:N15" si="8">F10*(G10/2204.6)*1000</f>
        <v>1146855.2762775891</v>
      </c>
      <c r="O10" s="28">
        <f t="shared" ref="O10:O15" si="9">L10+M10+N10</f>
        <v>2654671.6451462898</v>
      </c>
      <c r="P10" s="29">
        <f t="shared" ref="P10:P15" si="10">(L10+M10+N10)/1000000</f>
        <v>2.6546716451462897</v>
      </c>
      <c r="Q10" s="28"/>
      <c r="R10" s="29">
        <f t="shared" ref="R10:R15" si="11">(P10/A10)*1000000</f>
        <v>2.392980124672369</v>
      </c>
    </row>
    <row r="11" spans="1:18">
      <c r="A11" s="27">
        <v>1124606</v>
      </c>
      <c r="C11" s="27">
        <v>2015</v>
      </c>
      <c r="D11" s="28">
        <v>9467</v>
      </c>
      <c r="E11" s="28"/>
      <c r="F11" s="28">
        <f>6079.64773601039-J11</f>
        <v>5613.3217095767459</v>
      </c>
      <c r="G11" s="28">
        <v>405</v>
      </c>
      <c r="H11" s="28">
        <f t="shared" si="6"/>
        <v>3387.35226398961</v>
      </c>
      <c r="I11" s="28">
        <v>943.58</v>
      </c>
      <c r="J11" s="26">
        <f>466326.026433644/1000</f>
        <v>466.32602643364402</v>
      </c>
      <c r="K11" s="28">
        <v>323</v>
      </c>
      <c r="L11" s="28">
        <f t="shared" si="7"/>
        <v>68322.283651486447</v>
      </c>
      <c r="M11" s="28">
        <f t="shared" si="5"/>
        <v>1449786.7689875532</v>
      </c>
      <c r="N11" s="28">
        <f t="shared" si="8"/>
        <v>1031205.3399158949</v>
      </c>
      <c r="O11" s="28">
        <f t="shared" si="9"/>
        <v>2549314.3925549346</v>
      </c>
      <c r="P11" s="29">
        <f t="shared" si="10"/>
        <v>2.5493143925549346</v>
      </c>
      <c r="Q11" s="28"/>
      <c r="R11" s="29">
        <f t="shared" si="11"/>
        <v>2.2668511394701207</v>
      </c>
    </row>
    <row r="12" spans="1:18">
      <c r="A12" s="27">
        <v>1137194</v>
      </c>
      <c r="C12" s="27">
        <v>2016</v>
      </c>
      <c r="D12" s="28">
        <v>9589</v>
      </c>
      <c r="E12" s="28"/>
      <c r="F12" s="28">
        <f>5892.37342760991-J12</f>
        <v>5227.3824628049169</v>
      </c>
      <c r="G12" s="28">
        <v>294</v>
      </c>
      <c r="H12" s="28">
        <f t="shared" si="6"/>
        <v>3696.6265723900901</v>
      </c>
      <c r="I12" s="28">
        <v>943.58</v>
      </c>
      <c r="J12" s="26">
        <f>664990.964804993/1000</f>
        <v>664.99096480499304</v>
      </c>
      <c r="K12" s="28">
        <v>279</v>
      </c>
      <c r="L12" s="28">
        <f t="shared" si="7"/>
        <v>84156.980486525033</v>
      </c>
      <c r="M12" s="28">
        <f t="shared" si="5"/>
        <v>1582156.1729829586</v>
      </c>
      <c r="N12" s="28">
        <f t="shared" si="8"/>
        <v>697110.7883809515</v>
      </c>
      <c r="O12" s="28">
        <f t="shared" si="9"/>
        <v>2363423.941850435</v>
      </c>
      <c r="P12" s="29">
        <f t="shared" si="10"/>
        <v>2.363423941850435</v>
      </c>
      <c r="Q12" s="28"/>
      <c r="R12" s="29">
        <f t="shared" si="11"/>
        <v>2.0782944175316045</v>
      </c>
    </row>
    <row r="13" spans="1:18">
      <c r="A13" s="27">
        <v>1144863</v>
      </c>
      <c r="B13" s="42" t="s">
        <v>55</v>
      </c>
      <c r="C13" s="27">
        <v>2017</v>
      </c>
      <c r="D13" s="28">
        <v>9689</v>
      </c>
      <c r="E13" s="28"/>
      <c r="F13" s="28">
        <f>6076.07171674189-J13</f>
        <v>5074.3183679942395</v>
      </c>
      <c r="G13" s="28">
        <v>210</v>
      </c>
      <c r="H13" s="28">
        <f t="shared" si="6"/>
        <v>3612.9282832581102</v>
      </c>
      <c r="I13" s="28">
        <v>943.58</v>
      </c>
      <c r="J13" s="26">
        <f>1001753.34874765/1000</f>
        <v>1001.7533487476501</v>
      </c>
      <c r="K13" s="28">
        <v>109</v>
      </c>
      <c r="L13" s="28">
        <f>J13*(K13/2204.6)*1000</f>
        <v>49528.764861423326</v>
      </c>
      <c r="M13" s="28">
        <f t="shared" si="5"/>
        <v>1546333.3052344713</v>
      </c>
      <c r="N13" s="28">
        <f t="shared" si="8"/>
        <v>483356.09964564559</v>
      </c>
      <c r="O13" s="28">
        <f t="shared" si="9"/>
        <v>2079218.1697415402</v>
      </c>
      <c r="P13" s="29">
        <f t="shared" si="10"/>
        <v>2.0792181697415404</v>
      </c>
      <c r="Q13" s="28"/>
      <c r="R13" s="29">
        <f t="shared" si="11"/>
        <v>1.8161283662250771</v>
      </c>
    </row>
    <row r="14" spans="1:18">
      <c r="A14" s="27">
        <v>1150215</v>
      </c>
      <c r="C14" s="27">
        <v>2018</v>
      </c>
      <c r="D14" s="28">
        <v>9258</v>
      </c>
      <c r="E14" s="28"/>
      <c r="F14" s="28">
        <f>5775.76410483291-J14</f>
        <v>3097.7497850829895</v>
      </c>
      <c r="G14" s="28">
        <v>206</v>
      </c>
      <c r="H14" s="28">
        <f t="shared" si="6"/>
        <v>3482.2358951670903</v>
      </c>
      <c r="I14" s="28">
        <v>943.58</v>
      </c>
      <c r="J14" s="26">
        <f>2678014.31974992/1000</f>
        <v>2678.0143197499201</v>
      </c>
      <c r="K14" s="28">
        <v>122</v>
      </c>
      <c r="L14" s="28">
        <f>J14*(K14/2204.6)*1000</f>
        <v>148198.19786332682</v>
      </c>
      <c r="M14" s="28">
        <f t="shared" si="5"/>
        <v>1490396.9631315146</v>
      </c>
      <c r="N14" s="28">
        <f t="shared" si="8"/>
        <v>289456.79748121923</v>
      </c>
      <c r="O14" s="28">
        <f t="shared" si="9"/>
        <v>1928051.9584760608</v>
      </c>
      <c r="P14" s="29">
        <f t="shared" si="10"/>
        <v>1.9280519584760607</v>
      </c>
      <c r="Q14" s="28"/>
      <c r="R14" s="29">
        <f t="shared" si="11"/>
        <v>1.6762535338837179</v>
      </c>
    </row>
    <row r="15" spans="1:18">
      <c r="A15" s="27">
        <v>1153526</v>
      </c>
      <c r="C15" s="27">
        <v>2019</v>
      </c>
      <c r="D15" s="28">
        <v>9639</v>
      </c>
      <c r="E15" s="28"/>
      <c r="F15" s="28">
        <f>6197.238370277-J15</f>
        <v>2858.3259243418001</v>
      </c>
      <c r="G15" s="28">
        <v>3</v>
      </c>
      <c r="H15" s="28">
        <f t="shared" si="6"/>
        <v>3441.7616297230002</v>
      </c>
      <c r="I15" s="28">
        <v>943.58</v>
      </c>
      <c r="J15" s="26">
        <f>3338912.4459352/1000</f>
        <v>3338.9124459352001</v>
      </c>
      <c r="K15" s="28">
        <f>'electricity - CO2e'!V18</f>
        <v>90.920874639999994</v>
      </c>
      <c r="L15" s="28">
        <f>J15*(K15/2204.6)*1000</f>
        <v>137701.55127043911</v>
      </c>
      <c r="M15" s="28">
        <f t="shared" si="5"/>
        <v>1473073.977521444</v>
      </c>
      <c r="N15" s="28">
        <f t="shared" si="8"/>
        <v>3889.5844021706434</v>
      </c>
      <c r="O15" s="28">
        <f t="shared" si="9"/>
        <v>1614665.1131940538</v>
      </c>
      <c r="P15" s="29">
        <f t="shared" si="10"/>
        <v>1.6146651131940537</v>
      </c>
      <c r="Q15" s="28"/>
      <c r="R15" s="29">
        <f t="shared" si="11"/>
        <v>1.3997648195134342</v>
      </c>
    </row>
    <row r="16" spans="1:18">
      <c r="A16" s="27" t="s">
        <v>6</v>
      </c>
      <c r="B16" s="42" t="s">
        <v>52</v>
      </c>
      <c r="E16" s="28"/>
      <c r="G16" s="28"/>
      <c r="H16" s="28"/>
      <c r="I16" s="28"/>
      <c r="J16" s="26"/>
      <c r="K16" s="28"/>
      <c r="Q16" s="28"/>
    </row>
    <row r="17" spans="1:18">
      <c r="A17" s="27">
        <v>260435</v>
      </c>
      <c r="C17" s="50">
        <v>2014</v>
      </c>
      <c r="D17" s="28">
        <v>1355.2776060000001</v>
      </c>
      <c r="E17" s="28"/>
      <c r="F17" s="28">
        <f>1308.06234193031-J17</f>
        <v>399.89550298014092</v>
      </c>
      <c r="G17" s="28">
        <v>435</v>
      </c>
      <c r="H17" s="28">
        <f t="shared" ref="H17:H22" si="12">D17-F17-J17</f>
        <v>47.215264069690193</v>
      </c>
      <c r="I17" s="28">
        <v>943.58</v>
      </c>
      <c r="J17" s="26">
        <f>908166.838950169/1000</f>
        <v>908.16683895016899</v>
      </c>
      <c r="K17" s="28">
        <v>324</v>
      </c>
      <c r="L17" s="28">
        <f t="shared" ref="L17:L22" si="13">J17*(K17/2204.6)*1000</f>
        <v>133469.13536235815</v>
      </c>
      <c r="M17" s="28">
        <f t="shared" si="5"/>
        <v>20208.133021827402</v>
      </c>
      <c r="N17" s="28">
        <f t="shared" ref="N17:N22" si="14">F17*(G17/2204.6)*1000</f>
        <v>78905.263447501275</v>
      </c>
      <c r="O17" s="28">
        <f t="shared" ref="O17:O22" si="15">L17+M17+N17</f>
        <v>232582.53183168685</v>
      </c>
      <c r="P17" s="29">
        <f t="shared" ref="P17:P22" si="16">(L17+M17+N17)/1000000</f>
        <v>0.23258253183168684</v>
      </c>
      <c r="Q17" s="28"/>
      <c r="R17" s="29">
        <f t="shared" ref="R17:R22" si="17">(P17/A17)*1000000</f>
        <v>0.89305405122847104</v>
      </c>
    </row>
    <row r="18" spans="1:18">
      <c r="A18" s="27">
        <v>261016</v>
      </c>
      <c r="C18" s="50">
        <v>2015</v>
      </c>
      <c r="D18" s="28">
        <v>1354.8779219999999</v>
      </c>
      <c r="E18" s="28"/>
      <c r="F18" s="28">
        <f>1289.47417814173-J18</f>
        <v>375.96475130917088</v>
      </c>
      <c r="G18" s="28">
        <v>405</v>
      </c>
      <c r="H18" s="28">
        <f t="shared" si="12"/>
        <v>65.403743858269991</v>
      </c>
      <c r="I18" s="28">
        <v>943.58</v>
      </c>
      <c r="J18" s="26">
        <f>913509.426832559/1000</f>
        <v>913.50942683255903</v>
      </c>
      <c r="K18" s="28">
        <v>323</v>
      </c>
      <c r="L18" s="28">
        <f t="shared" si="13"/>
        <v>133839.94596158786</v>
      </c>
      <c r="M18" s="28">
        <f t="shared" si="5"/>
        <v>27992.802371339552</v>
      </c>
      <c r="N18" s="28">
        <f t="shared" si="14"/>
        <v>69067.279452151954</v>
      </c>
      <c r="O18" s="28">
        <f t="shared" si="15"/>
        <v>230900.02778507938</v>
      </c>
      <c r="P18" s="29">
        <f t="shared" si="16"/>
        <v>0.23090002778507937</v>
      </c>
      <c r="Q18" s="28"/>
      <c r="R18" s="29">
        <f t="shared" si="17"/>
        <v>0.88462020636696359</v>
      </c>
    </row>
    <row r="19" spans="1:18">
      <c r="A19" s="27">
        <v>260633</v>
      </c>
      <c r="C19" s="50">
        <v>2016</v>
      </c>
      <c r="D19" s="28">
        <v>1342.7602870000001</v>
      </c>
      <c r="E19" s="28"/>
      <c r="F19" s="28">
        <f>1259.34926595401-J19</f>
        <v>342.28971401486194</v>
      </c>
      <c r="G19" s="28">
        <v>294</v>
      </c>
      <c r="H19" s="28">
        <f t="shared" si="12"/>
        <v>83.411021045990083</v>
      </c>
      <c r="I19" s="28">
        <v>943.58</v>
      </c>
      <c r="J19" s="28">
        <f>917059.551939148/1000</f>
        <v>917.05955193914804</v>
      </c>
      <c r="K19" s="28">
        <v>279</v>
      </c>
      <c r="L19" s="28">
        <f t="shared" si="13"/>
        <v>116057.16002495796</v>
      </c>
      <c r="M19" s="28">
        <f t="shared" si="5"/>
        <v>35699.917007683754</v>
      </c>
      <c r="N19" s="28">
        <f t="shared" si="14"/>
        <v>45646.909153755521</v>
      </c>
      <c r="O19" s="28">
        <f t="shared" si="15"/>
        <v>197403.98618639723</v>
      </c>
      <c r="P19" s="29">
        <f t="shared" si="16"/>
        <v>0.19740398618639723</v>
      </c>
      <c r="Q19" s="28"/>
      <c r="R19" s="29">
        <f t="shared" si="17"/>
        <v>0.75740211786840972</v>
      </c>
    </row>
    <row r="20" spans="1:18">
      <c r="A20" s="27">
        <v>259725</v>
      </c>
      <c r="C20" s="50">
        <v>2017</v>
      </c>
      <c r="D20" s="28">
        <v>1384.9079819999999</v>
      </c>
      <c r="E20" s="28"/>
      <c r="F20" s="28">
        <f>1264.53843510883-J20</f>
        <v>343.948480705821</v>
      </c>
      <c r="G20" s="28">
        <v>210</v>
      </c>
      <c r="H20" s="28">
        <f t="shared" si="12"/>
        <v>120.36954689116999</v>
      </c>
      <c r="I20" s="28">
        <v>943.58</v>
      </c>
      <c r="J20" s="28">
        <f>920589.954403009/1000</f>
        <v>920.58995440300907</v>
      </c>
      <c r="K20" s="28">
        <v>109</v>
      </c>
      <c r="L20" s="28">
        <f t="shared" si="13"/>
        <v>45515.878177414495</v>
      </c>
      <c r="M20" s="28">
        <f t="shared" si="5"/>
        <v>51518.166069420753</v>
      </c>
      <c r="N20" s="28">
        <f t="shared" si="14"/>
        <v>32762.941553217097</v>
      </c>
      <c r="O20" s="28">
        <f t="shared" si="15"/>
        <v>129796.98580005235</v>
      </c>
      <c r="P20" s="29">
        <f t="shared" si="16"/>
        <v>0.12979698580005236</v>
      </c>
      <c r="Q20" s="28"/>
      <c r="R20" s="29">
        <f t="shared" si="17"/>
        <v>0.49974775551083783</v>
      </c>
    </row>
    <row r="21" spans="1:18">
      <c r="A21" s="27">
        <v>259666</v>
      </c>
      <c r="C21" s="27">
        <v>2018</v>
      </c>
      <c r="D21" s="28">
        <v>1329.1875680000001</v>
      </c>
      <c r="E21" s="28"/>
      <c r="F21" s="28">
        <f>1224.5572727949-J21</f>
        <v>334.43271795795999</v>
      </c>
      <c r="G21" s="28">
        <v>206</v>
      </c>
      <c r="H21" s="28">
        <f t="shared" si="12"/>
        <v>104.63029520510008</v>
      </c>
      <c r="I21" s="28">
        <v>943.58</v>
      </c>
      <c r="J21" s="26">
        <f>890124.55483694/1000</f>
        <v>890.12455483693998</v>
      </c>
      <c r="K21" s="28">
        <v>122</v>
      </c>
      <c r="L21" s="28">
        <f t="shared" si="13"/>
        <v>49258.457629550343</v>
      </c>
      <c r="M21" s="28">
        <f t="shared" si="5"/>
        <v>44781.766347782832</v>
      </c>
      <c r="N21" s="28">
        <f t="shared" si="14"/>
        <v>31249.723260155934</v>
      </c>
      <c r="O21" s="28">
        <f t="shared" si="15"/>
        <v>125289.9472374891</v>
      </c>
      <c r="P21" s="29">
        <f t="shared" si="16"/>
        <v>0.1252899472374891</v>
      </c>
      <c r="Q21" s="28"/>
      <c r="R21" s="29">
        <f t="shared" si="17"/>
        <v>0.48250424482792936</v>
      </c>
    </row>
    <row r="22" spans="1:18">
      <c r="A22" s="27">
        <v>258826</v>
      </c>
      <c r="C22" s="27">
        <v>2019</v>
      </c>
      <c r="D22" s="28">
        <v>1355</v>
      </c>
      <c r="E22" s="28"/>
      <c r="F22" s="28">
        <f>1221.053624-J22</f>
        <v>321.75282157626486</v>
      </c>
      <c r="G22" s="28">
        <v>3</v>
      </c>
      <c r="H22" s="28">
        <f t="shared" si="12"/>
        <v>133.94637599999999</v>
      </c>
      <c r="I22" s="28">
        <v>943.58</v>
      </c>
      <c r="J22" s="28">
        <f>899300.802423735/1000</f>
        <v>899.30080242373504</v>
      </c>
      <c r="K22" s="28">
        <f>'electricity - CO2e'!V18</f>
        <v>90.920874639999994</v>
      </c>
      <c r="L22" s="28">
        <f t="shared" si="13"/>
        <v>37088.458459956368</v>
      </c>
      <c r="M22" s="28">
        <f t="shared" si="5"/>
        <v>57329.048927999989</v>
      </c>
      <c r="N22" s="28">
        <f t="shared" si="14"/>
        <v>437.83836738129122</v>
      </c>
      <c r="O22" s="28">
        <f t="shared" si="15"/>
        <v>94855.34575533765</v>
      </c>
      <c r="P22" s="29">
        <f t="shared" si="16"/>
        <v>9.4855345755337647E-2</v>
      </c>
      <c r="Q22" s="28"/>
      <c r="R22" s="29">
        <f t="shared" si="17"/>
        <v>0.36648306489818511</v>
      </c>
    </row>
    <row r="23" spans="1:18">
      <c r="A23" s="27" t="s">
        <v>7</v>
      </c>
      <c r="E23" s="28"/>
      <c r="G23" s="28"/>
      <c r="Q23" s="28"/>
    </row>
    <row r="24" spans="1:18">
      <c r="A24" s="27">
        <v>140567</v>
      </c>
      <c r="B24" s="42" t="s">
        <v>55</v>
      </c>
      <c r="C24" s="50">
        <v>2014</v>
      </c>
      <c r="D24" s="28">
        <v>1047.13804</v>
      </c>
      <c r="E24" s="28"/>
      <c r="F24" s="28">
        <f>976.296173578736-J24</f>
        <v>976.24522157129002</v>
      </c>
      <c r="G24" s="28">
        <v>435</v>
      </c>
      <c r="H24" s="28">
        <f>D24-F24-J24</f>
        <v>70.841866421264029</v>
      </c>
      <c r="I24" s="28">
        <v>943.58</v>
      </c>
      <c r="J24" s="28">
        <f>50.952007446/1000</f>
        <v>5.0952007446000001E-2</v>
      </c>
      <c r="K24" s="28">
        <v>324</v>
      </c>
      <c r="L24" s="28">
        <f>J24*(K24/2204.6)*1000</f>
        <v>7.4881839846248761</v>
      </c>
      <c r="M24" s="28">
        <f t="shared" si="5"/>
        <v>30320.318828301006</v>
      </c>
      <c r="N24" s="28">
        <f t="shared" ref="N24:N29" si="18">F24*(G24/2204.6)*1000</f>
        <v>192627.53850290808</v>
      </c>
      <c r="O24" s="28">
        <f t="shared" ref="O24:O29" si="19">L24+M24+N24</f>
        <v>222955.34551519371</v>
      </c>
      <c r="P24" s="29">
        <f>(L24+M24+N24)/1000000</f>
        <v>0.22295534551519372</v>
      </c>
      <c r="Q24" s="28"/>
      <c r="R24" s="29">
        <f t="shared" ref="R24:R29" si="20">(P24/A24)*1000000</f>
        <v>1.5861144188550209</v>
      </c>
    </row>
    <row r="25" spans="1:18">
      <c r="A25" s="27">
        <v>141096</v>
      </c>
      <c r="C25" s="50">
        <v>2015</v>
      </c>
      <c r="D25" s="28">
        <v>1053.272377</v>
      </c>
      <c r="E25" s="28"/>
      <c r="F25" s="28">
        <f>973.066017878687-J25</f>
        <v>688.91815180509707</v>
      </c>
      <c r="G25" s="28">
        <v>405</v>
      </c>
      <c r="H25" s="28">
        <f t="shared" ref="H25:H29" si="21">D25-F25-J25</f>
        <v>80.206359121312914</v>
      </c>
      <c r="I25" s="28">
        <v>943.58</v>
      </c>
      <c r="J25" s="28">
        <f>284147.86607359/1000</f>
        <v>284.14786607359002</v>
      </c>
      <c r="K25" s="28">
        <v>323</v>
      </c>
      <c r="L25" s="28">
        <f t="shared" ref="L25:L29" si="22">J25*(K25/2204.6)*1000</f>
        <v>41631.026372933673</v>
      </c>
      <c r="M25" s="28">
        <f t="shared" si="5"/>
        <v>34328.321703921931</v>
      </c>
      <c r="N25" s="28">
        <f t="shared" si="18"/>
        <v>126558.94560512761</v>
      </c>
      <c r="O25" s="28">
        <f t="shared" si="19"/>
        <v>202518.2936819832</v>
      </c>
      <c r="P25" s="29">
        <f t="shared" ref="P25:P29" si="23">(L25+M25+N25)/1000000</f>
        <v>0.20251829368198321</v>
      </c>
      <c r="Q25" s="28"/>
      <c r="R25" s="29">
        <f t="shared" si="20"/>
        <v>1.4353227141944718</v>
      </c>
    </row>
    <row r="26" spans="1:18">
      <c r="A26" s="27">
        <v>141185</v>
      </c>
      <c r="C26" s="50">
        <v>2016</v>
      </c>
      <c r="D26" s="28">
        <v>1057.5443</v>
      </c>
      <c r="E26" s="28"/>
      <c r="F26" s="28">
        <f>966.60262005214-J26</f>
        <v>485.60031974419599</v>
      </c>
      <c r="G26" s="28">
        <v>294</v>
      </c>
      <c r="H26" s="28">
        <f t="shared" si="21"/>
        <v>90.941679947860052</v>
      </c>
      <c r="I26" s="28">
        <v>943.58</v>
      </c>
      <c r="J26" s="28">
        <f>481002.300307944/1000</f>
        <v>481.00230030794398</v>
      </c>
      <c r="K26" s="28">
        <v>279</v>
      </c>
      <c r="L26" s="28">
        <f t="shared" si="22"/>
        <v>60872.558190109943</v>
      </c>
      <c r="M26" s="28">
        <f t="shared" si="5"/>
        <v>38923.039017684103</v>
      </c>
      <c r="N26" s="28">
        <f t="shared" si="18"/>
        <v>64758.45686509736</v>
      </c>
      <c r="O26" s="28">
        <f t="shared" si="19"/>
        <v>164554.05407289142</v>
      </c>
      <c r="P26" s="29">
        <f t="shared" si="23"/>
        <v>0.16455405407289142</v>
      </c>
      <c r="Q26" s="28"/>
      <c r="R26" s="29">
        <f t="shared" si="20"/>
        <v>1.165520799468013</v>
      </c>
    </row>
    <row r="27" spans="1:18">
      <c r="A27" s="27">
        <v>140386</v>
      </c>
      <c r="C27" s="50">
        <v>2017</v>
      </c>
      <c r="D27" s="28">
        <v>1060.8604760000001</v>
      </c>
      <c r="E27" s="28"/>
      <c r="F27" s="28">
        <f>958.102588915343-J27</f>
        <v>118.17587941373392</v>
      </c>
      <c r="G27" s="28">
        <v>210</v>
      </c>
      <c r="H27" s="28">
        <f t="shared" si="21"/>
        <v>102.75788708465711</v>
      </c>
      <c r="I27" s="28">
        <v>943.58</v>
      </c>
      <c r="J27" s="26">
        <f>839926.709501609/1000</f>
        <v>839.92670950160903</v>
      </c>
      <c r="K27" s="28">
        <v>109</v>
      </c>
      <c r="L27" s="28">
        <f t="shared" si="22"/>
        <v>41527.719920019685</v>
      </c>
      <c r="M27" s="28">
        <f t="shared" si="5"/>
        <v>43980.375672233247</v>
      </c>
      <c r="N27" s="28">
        <f t="shared" si="18"/>
        <v>11256.887724251168</v>
      </c>
      <c r="O27" s="28">
        <f t="shared" si="19"/>
        <v>96764.983316504105</v>
      </c>
      <c r="P27" s="29">
        <f t="shared" si="23"/>
        <v>9.67649833165041E-2</v>
      </c>
      <c r="Q27" s="28"/>
      <c r="R27" s="29">
        <f t="shared" si="20"/>
        <v>0.68927801430701141</v>
      </c>
    </row>
    <row r="28" spans="1:18">
      <c r="A28" s="27">
        <v>139417</v>
      </c>
      <c r="C28" s="27">
        <v>2018</v>
      </c>
      <c r="D28" s="28">
        <v>1034.602938</v>
      </c>
      <c r="E28" s="28"/>
      <c r="F28" s="28">
        <f>923.853842252281-J28</f>
        <v>156.46130199980598</v>
      </c>
      <c r="G28" s="28">
        <v>206</v>
      </c>
      <c r="H28" s="28">
        <f t="shared" si="21"/>
        <v>110.74909574771902</v>
      </c>
      <c r="I28" s="28">
        <v>943.58</v>
      </c>
      <c r="J28" s="28">
        <f>767392.540252475/1000</f>
        <v>767.39254025247499</v>
      </c>
      <c r="K28" s="28">
        <v>122</v>
      </c>
      <c r="L28" s="28">
        <f t="shared" si="22"/>
        <v>42466.610682573686</v>
      </c>
      <c r="M28" s="28">
        <f t="shared" si="5"/>
        <v>47400.612980023747</v>
      </c>
      <c r="N28" s="28">
        <f t="shared" si="18"/>
        <v>14619.898490410975</v>
      </c>
      <c r="O28" s="28">
        <f t="shared" si="19"/>
        <v>104487.12215300841</v>
      </c>
      <c r="P28" s="29">
        <f t="shared" si="23"/>
        <v>0.10448712215300841</v>
      </c>
      <c r="Q28" s="28"/>
      <c r="R28" s="29">
        <f t="shared" si="20"/>
        <v>0.74945754214341442</v>
      </c>
    </row>
    <row r="29" spans="1:18">
      <c r="A29" s="27">
        <v>137744</v>
      </c>
      <c r="C29" s="27">
        <v>2019</v>
      </c>
      <c r="D29" s="28">
        <v>1042</v>
      </c>
      <c r="E29" s="28"/>
      <c r="F29" s="28">
        <f>925.755064-J29</f>
        <v>137.35632922643788</v>
      </c>
      <c r="G29" s="28">
        <v>3</v>
      </c>
      <c r="H29" s="28">
        <f t="shared" si="21"/>
        <v>116.24493600000005</v>
      </c>
      <c r="I29" s="28">
        <v>943.58</v>
      </c>
      <c r="J29" s="38">
        <f>788398.734773562/1000</f>
        <v>788.39873477356207</v>
      </c>
      <c r="K29" s="28">
        <f>'electricity - CO2e'!V18</f>
        <v>90.920874639999994</v>
      </c>
      <c r="L29" s="28">
        <f t="shared" si="22"/>
        <v>32514.697691500336</v>
      </c>
      <c r="M29" s="28">
        <f t="shared" si="5"/>
        <v>49752.832608000019</v>
      </c>
      <c r="N29" s="28">
        <f t="shared" si="18"/>
        <v>186.91326666030739</v>
      </c>
      <c r="O29" s="28">
        <f t="shared" si="19"/>
        <v>82454.443566160669</v>
      </c>
      <c r="P29" s="29">
        <f t="shared" si="23"/>
        <v>8.2454443566160676E-2</v>
      </c>
      <c r="Q29" s="28"/>
      <c r="R29" s="29">
        <f t="shared" si="20"/>
        <v>0.59860642616854953</v>
      </c>
    </row>
    <row r="30" spans="1:18">
      <c r="A30" s="27" t="s">
        <v>8</v>
      </c>
      <c r="E30" s="28"/>
      <c r="Q30" s="28"/>
    </row>
    <row r="31" spans="1:18">
      <c r="A31" s="27">
        <v>851116</v>
      </c>
      <c r="C31" s="50">
        <v>2014</v>
      </c>
      <c r="D31" s="28">
        <v>5845.729327</v>
      </c>
      <c r="E31" s="28"/>
      <c r="F31" s="28">
        <v>4776.3878293845601</v>
      </c>
      <c r="G31" s="28">
        <v>435</v>
      </c>
      <c r="H31" s="28">
        <f t="shared" ref="H31:H36" si="24">D31-F31-J31</f>
        <v>1069.3414976154399</v>
      </c>
      <c r="I31" s="28">
        <v>943.58</v>
      </c>
      <c r="J31" s="26">
        <v>0</v>
      </c>
      <c r="K31" s="28"/>
      <c r="L31" s="28">
        <f t="shared" ref="L31:L36" si="25">J31*(K31/2204.6)*1000</f>
        <v>0</v>
      </c>
      <c r="M31" s="28">
        <f t="shared" si="5"/>
        <v>457678.16097940831</v>
      </c>
      <c r="N31" s="28">
        <f t="shared" ref="N31:N36" si="26">F31*(G31/2204.6)*1000</f>
        <v>942451.55846062035</v>
      </c>
      <c r="O31" s="28">
        <f t="shared" ref="O31:O36" si="27">L31+M31+N31</f>
        <v>1400129.7194400285</v>
      </c>
      <c r="P31" s="29">
        <f t="shared" ref="P31:P36" si="28">(L31+M31+N31)/1000000</f>
        <v>1.4001297194400286</v>
      </c>
      <c r="Q31" s="28"/>
      <c r="R31" s="29">
        <f t="shared" ref="R31:R36" si="29">(P31/A31)*1000000</f>
        <v>1.6450515786802604</v>
      </c>
    </row>
    <row r="32" spans="1:18">
      <c r="A32" s="27">
        <v>863836</v>
      </c>
      <c r="C32" s="50">
        <v>2015</v>
      </c>
      <c r="D32" s="28">
        <v>5805.8061159999997</v>
      </c>
      <c r="E32" s="28"/>
      <c r="F32" s="28">
        <v>4683.6017977027204</v>
      </c>
      <c r="G32" s="28">
        <v>405</v>
      </c>
      <c r="H32" s="28">
        <f t="shared" si="24"/>
        <v>1122.2043182972793</v>
      </c>
      <c r="I32" s="28">
        <v>943.58</v>
      </c>
      <c r="J32" s="26">
        <v>0</v>
      </c>
      <c r="K32" s="28"/>
      <c r="L32" s="28">
        <f t="shared" si="25"/>
        <v>0</v>
      </c>
      <c r="M32" s="28">
        <f t="shared" si="5"/>
        <v>480303.44823123555</v>
      </c>
      <c r="N32" s="28">
        <f t="shared" si="26"/>
        <v>860409.47476621694</v>
      </c>
      <c r="O32" s="28">
        <f t="shared" si="27"/>
        <v>1340712.9229974526</v>
      </c>
      <c r="P32" s="29">
        <f t="shared" si="28"/>
        <v>1.3407129229974526</v>
      </c>
      <c r="Q32" s="28"/>
      <c r="R32" s="29">
        <f t="shared" si="29"/>
        <v>1.5520456695454377</v>
      </c>
    </row>
    <row r="33" spans="1:18">
      <c r="A33" s="27">
        <v>872795</v>
      </c>
      <c r="B33" s="42" t="s">
        <v>51</v>
      </c>
      <c r="C33" s="50">
        <v>2016</v>
      </c>
      <c r="D33" s="28">
        <v>5759.1109850000003</v>
      </c>
      <c r="E33" s="28"/>
      <c r="F33" s="28">
        <f>4670.6296593108-J33</f>
        <v>4445.0786593107996</v>
      </c>
      <c r="G33" s="28">
        <v>294</v>
      </c>
      <c r="H33" s="28">
        <f t="shared" si="24"/>
        <v>1088.4813256892007</v>
      </c>
      <c r="I33" s="28">
        <v>943.58</v>
      </c>
      <c r="J33" s="26">
        <f>(223189+2362)/1000</f>
        <v>225.55099999999999</v>
      </c>
      <c r="K33" s="28">
        <v>187</v>
      </c>
      <c r="L33" s="28">
        <f t="shared" si="25"/>
        <v>19131.832078381569</v>
      </c>
      <c r="M33" s="28">
        <f t="shared" si="5"/>
        <v>465870.0073949779</v>
      </c>
      <c r="N33" s="28">
        <f t="shared" si="26"/>
        <v>592784.68921227218</v>
      </c>
      <c r="O33" s="28">
        <f t="shared" si="27"/>
        <v>1077786.5286856317</v>
      </c>
      <c r="P33" s="29">
        <f t="shared" si="28"/>
        <v>1.0777865286856316</v>
      </c>
      <c r="Q33" s="28"/>
      <c r="R33" s="29">
        <f t="shared" si="29"/>
        <v>1.2348678998913052</v>
      </c>
    </row>
    <row r="34" spans="1:18">
      <c r="A34" s="27">
        <v>879166</v>
      </c>
      <c r="C34" s="50">
        <v>2017</v>
      </c>
      <c r="D34" s="28">
        <v>5735.3346680000004</v>
      </c>
      <c r="E34" s="28"/>
      <c r="F34" s="28">
        <f>4640.5708196902-J34</f>
        <v>4104.9948196901996</v>
      </c>
      <c r="G34" s="28">
        <v>210</v>
      </c>
      <c r="H34" s="28">
        <f t="shared" si="24"/>
        <v>1094.7638483098008</v>
      </c>
      <c r="I34" s="28">
        <v>943.58</v>
      </c>
      <c r="J34" s="26">
        <f>(511264+24312)/1000</f>
        <v>535.57600000000002</v>
      </c>
      <c r="K34" s="28">
        <v>0</v>
      </c>
      <c r="L34" s="28">
        <f t="shared" si="25"/>
        <v>0</v>
      </c>
      <c r="M34" s="28">
        <f t="shared" si="5"/>
        <v>468558.92707659473</v>
      </c>
      <c r="N34" s="28">
        <f t="shared" si="26"/>
        <v>391022.82143470104</v>
      </c>
      <c r="O34" s="28">
        <f t="shared" si="27"/>
        <v>859581.74851129577</v>
      </c>
      <c r="P34" s="29">
        <f t="shared" si="28"/>
        <v>0.85958174851129576</v>
      </c>
      <c r="Q34" s="28"/>
      <c r="R34" s="29">
        <f t="shared" si="29"/>
        <v>0.97772405724436084</v>
      </c>
    </row>
    <row r="35" spans="1:18">
      <c r="A35" s="27">
        <v>883305</v>
      </c>
      <c r="C35" s="27">
        <v>2018</v>
      </c>
      <c r="D35" s="28">
        <v>5602.2814770000005</v>
      </c>
      <c r="E35" s="28"/>
      <c r="F35" s="28">
        <f>4527.01737624276-J35</f>
        <v>3284.8383762427602</v>
      </c>
      <c r="G35" s="28">
        <v>206</v>
      </c>
      <c r="H35" s="28">
        <f t="shared" si="24"/>
        <v>1075.2641007572402</v>
      </c>
      <c r="I35" s="28">
        <v>943.58</v>
      </c>
      <c r="J35" s="26">
        <f>(1185987+56192)/1000</f>
        <v>1242.1790000000001</v>
      </c>
      <c r="K35" s="28">
        <v>113</v>
      </c>
      <c r="L35" s="28">
        <f t="shared" si="25"/>
        <v>63669.702893949019</v>
      </c>
      <c r="M35" s="28">
        <f t="shared" si="5"/>
        <v>460213.03512409877</v>
      </c>
      <c r="N35" s="28">
        <f t="shared" si="26"/>
        <v>306938.54010070249</v>
      </c>
      <c r="O35" s="28">
        <f t="shared" si="27"/>
        <v>830821.27811875031</v>
      </c>
      <c r="P35" s="29">
        <f t="shared" si="28"/>
        <v>0.83082127811875028</v>
      </c>
      <c r="Q35" s="28"/>
      <c r="R35" s="29">
        <f t="shared" si="29"/>
        <v>0.94058255995239504</v>
      </c>
    </row>
    <row r="36" spans="1:18">
      <c r="A36" s="27">
        <v>874961</v>
      </c>
      <c r="C36" s="27">
        <v>2019</v>
      </c>
      <c r="D36" s="28">
        <v>5604</v>
      </c>
      <c r="E36" s="28"/>
      <c r="F36" s="28">
        <f>4522.298919-J36</f>
        <v>1816.417919</v>
      </c>
      <c r="G36" s="28">
        <v>3</v>
      </c>
      <c r="H36" s="28">
        <f t="shared" si="24"/>
        <v>1081.7010810000002</v>
      </c>
      <c r="I36" s="28">
        <v>943.58</v>
      </c>
      <c r="J36" s="26">
        <f>(129002+2576879)/1000</f>
        <v>2705.8809999999999</v>
      </c>
      <c r="K36" s="28">
        <f>'electricity - CO2e'!V31</f>
        <v>45.027315200000004</v>
      </c>
      <c r="L36" s="28">
        <f t="shared" si="25"/>
        <v>55265.606767981139</v>
      </c>
      <c r="M36" s="28">
        <f t="shared" si="5"/>
        <v>462968.06266800006</v>
      </c>
      <c r="N36" s="28">
        <f t="shared" si="26"/>
        <v>2471.7652893949016</v>
      </c>
      <c r="O36" s="28">
        <f t="shared" si="27"/>
        <v>520705.43472537608</v>
      </c>
      <c r="P36" s="29">
        <f t="shared" si="28"/>
        <v>0.52070543472537612</v>
      </c>
      <c r="Q36" s="28"/>
      <c r="R36" s="29">
        <f t="shared" si="29"/>
        <v>0.59511845067994584</v>
      </c>
    </row>
    <row r="37" spans="1:18">
      <c r="A37" s="27" t="s">
        <v>9</v>
      </c>
      <c r="E37" s="28"/>
      <c r="G37" s="28"/>
      <c r="H37" s="28"/>
      <c r="I37" s="28"/>
      <c r="J37" s="26"/>
      <c r="K37" s="28"/>
      <c r="Q37" s="28"/>
    </row>
    <row r="38" spans="1:18">
      <c r="A38" s="27">
        <v>757670</v>
      </c>
      <c r="C38" s="50">
        <v>2014</v>
      </c>
      <c r="D38" s="28">
        <v>4452.3804469999995</v>
      </c>
      <c r="E38" s="28"/>
      <c r="F38" s="28">
        <v>4319.7089869350802</v>
      </c>
      <c r="G38" s="28">
        <v>435</v>
      </c>
      <c r="H38" s="28">
        <f>D38-F38-J38</f>
        <v>132.6714600649193</v>
      </c>
      <c r="I38" s="28">
        <v>943.58</v>
      </c>
      <c r="J38" s="26"/>
      <c r="K38" s="28"/>
      <c r="L38" s="28">
        <f t="shared" ref="L38:L43" si="30">J38*(K38/2204.6)*1000</f>
        <v>0</v>
      </c>
      <c r="M38" s="28">
        <f>H38*0.428*1000</f>
        <v>56783.384907785461</v>
      </c>
      <c r="N38" s="28">
        <f t="shared" ref="N38:N43" si="31">F38*(G38/2204.6)*1000</f>
        <v>852342.10710185976</v>
      </c>
      <c r="O38" s="28">
        <f t="shared" ref="O38:O43" si="32">L38+M38+N38</f>
        <v>909125.49200964521</v>
      </c>
      <c r="P38" s="29">
        <f t="shared" ref="P38:P43" si="33">(L38+M38+N38)/1000000</f>
        <v>0.90912549200964521</v>
      </c>
      <c r="Q38" s="28"/>
      <c r="R38" s="29">
        <f t="shared" ref="R38:R43" si="34">(P38/A38)*1000000</f>
        <v>1.1998963823427682</v>
      </c>
    </row>
    <row r="39" spans="1:18">
      <c r="A39" s="27">
        <v>765447</v>
      </c>
      <c r="C39" s="50">
        <v>2015</v>
      </c>
      <c r="D39" s="28">
        <v>4431.9333930000003</v>
      </c>
      <c r="E39" s="28"/>
      <c r="F39" s="28">
        <v>4285.91610731948</v>
      </c>
      <c r="G39" s="28">
        <v>405</v>
      </c>
      <c r="H39" s="28">
        <f>D39-F39-J39</f>
        <v>146.01728568052022</v>
      </c>
      <c r="I39" s="28">
        <v>943.58</v>
      </c>
      <c r="J39" s="26"/>
      <c r="K39" s="28"/>
      <c r="L39" s="28">
        <f t="shared" si="30"/>
        <v>0</v>
      </c>
      <c r="M39" s="28">
        <f t="shared" ref="M39:M64" si="35">H39*0.428*1000</f>
        <v>62495.398271262653</v>
      </c>
      <c r="N39" s="28">
        <f t="shared" si="31"/>
        <v>787351.91121490952</v>
      </c>
      <c r="O39" s="28">
        <f t="shared" si="32"/>
        <v>849847.30948617216</v>
      </c>
      <c r="P39" s="29">
        <f t="shared" si="33"/>
        <v>0.84984730948617215</v>
      </c>
      <c r="Q39" s="28"/>
      <c r="R39" s="29">
        <f t="shared" si="34"/>
        <v>1.1102627738905138</v>
      </c>
    </row>
    <row r="40" spans="1:18">
      <c r="A40" s="27">
        <v>768204</v>
      </c>
      <c r="B40" s="42" t="s">
        <v>51</v>
      </c>
      <c r="C40" s="50">
        <v>2016</v>
      </c>
      <c r="D40" s="28">
        <v>4339.528523</v>
      </c>
      <c r="E40" s="28"/>
      <c r="F40" s="28">
        <f>4171.91514777209-J40</f>
        <v>3894.5881477720895</v>
      </c>
      <c r="G40" s="28">
        <v>294</v>
      </c>
      <c r="H40" s="28">
        <f>D40-F40-J40</f>
        <v>167.61337522791041</v>
      </c>
      <c r="I40" s="28">
        <v>943.58</v>
      </c>
      <c r="J40" s="26">
        <v>277.327</v>
      </c>
      <c r="K40" s="28">
        <v>142</v>
      </c>
      <c r="L40" s="28">
        <f t="shared" si="30"/>
        <v>17862.847682119205</v>
      </c>
      <c r="M40" s="28">
        <f t="shared" si="35"/>
        <v>71738.524597545649</v>
      </c>
      <c r="N40" s="28">
        <f t="shared" si="31"/>
        <v>519372.63696135097</v>
      </c>
      <c r="O40" s="28">
        <f t="shared" si="32"/>
        <v>608974.00924101588</v>
      </c>
      <c r="P40" s="29">
        <f t="shared" si="33"/>
        <v>0.60897400924101586</v>
      </c>
      <c r="Q40" s="28"/>
      <c r="R40" s="29">
        <f t="shared" si="34"/>
        <v>0.79272434046297058</v>
      </c>
    </row>
    <row r="41" spans="1:18">
      <c r="A41" s="27">
        <v>768808</v>
      </c>
      <c r="C41" s="50">
        <v>2017</v>
      </c>
      <c r="D41" s="28">
        <v>4354.0679680000003</v>
      </c>
      <c r="E41" s="28"/>
      <c r="F41" s="28">
        <f>4166.7898757483-J41</f>
        <v>1304.5488757482999</v>
      </c>
      <c r="G41" s="28">
        <v>210</v>
      </c>
      <c r="H41" s="28">
        <f>D41-F41-J41</f>
        <v>187.2780922517004</v>
      </c>
      <c r="I41" s="28">
        <v>943.58</v>
      </c>
      <c r="J41" s="26">
        <v>2862.241</v>
      </c>
      <c r="K41" s="28">
        <v>137.9</v>
      </c>
      <c r="L41" s="28">
        <f t="shared" si="30"/>
        <v>179036.12170008165</v>
      </c>
      <c r="M41" s="28">
        <f t="shared" si="35"/>
        <v>80155.023483727768</v>
      </c>
      <c r="N41" s="28">
        <f t="shared" si="31"/>
        <v>124265.29252796106</v>
      </c>
      <c r="O41" s="28">
        <f t="shared" si="32"/>
        <v>383456.43771177047</v>
      </c>
      <c r="P41" s="29">
        <f t="shared" si="33"/>
        <v>0.38345643771177046</v>
      </c>
      <c r="Q41" s="28"/>
      <c r="R41" s="29">
        <f t="shared" si="34"/>
        <v>0.49876749163870626</v>
      </c>
    </row>
    <row r="42" spans="1:18">
      <c r="A42" s="27">
        <v>769545</v>
      </c>
      <c r="C42" s="27">
        <v>2018</v>
      </c>
      <c r="D42" s="28">
        <v>4254.6401500000002</v>
      </c>
      <c r="E42" s="28"/>
      <c r="F42" s="28">
        <f>4045.55370958281-J42</f>
        <v>1223.5537095828099</v>
      </c>
      <c r="G42" s="28">
        <v>206</v>
      </c>
      <c r="H42" s="28">
        <f t="shared" ref="H42" si="36">D42-F42-J42</f>
        <v>209.08644041719026</v>
      </c>
      <c r="I42" s="28">
        <v>943.58</v>
      </c>
      <c r="J42" s="26">
        <v>2822</v>
      </c>
      <c r="K42" s="28">
        <v>131.4</v>
      </c>
      <c r="L42" s="28">
        <f t="shared" si="30"/>
        <v>168198.67549668875</v>
      </c>
      <c r="M42" s="28">
        <f t="shared" si="35"/>
        <v>89488.996498557433</v>
      </c>
      <c r="N42" s="28">
        <f t="shared" si="31"/>
        <v>114330.06630411815</v>
      </c>
      <c r="O42" s="28">
        <f t="shared" si="32"/>
        <v>372017.73829936434</v>
      </c>
      <c r="P42" s="29">
        <f t="shared" si="33"/>
        <v>0.37201773829936435</v>
      </c>
      <c r="Q42" s="28"/>
      <c r="R42" s="29">
        <f t="shared" si="34"/>
        <v>0.48342558043956407</v>
      </c>
    </row>
    <row r="43" spans="1:18">
      <c r="A43" s="27">
        <v>767423</v>
      </c>
      <c r="C43" s="27">
        <v>2019</v>
      </c>
      <c r="D43" s="28">
        <v>4325</v>
      </c>
      <c r="E43" s="28"/>
      <c r="F43" s="28">
        <f>4085.432755-J43</f>
        <v>515.97475499999973</v>
      </c>
      <c r="G43" s="28">
        <v>3</v>
      </c>
      <c r="H43" s="28">
        <v>0</v>
      </c>
      <c r="I43" s="28">
        <v>943.58</v>
      </c>
      <c r="J43" s="26">
        <f>(256110+3313348)/1000</f>
        <v>3569.4580000000001</v>
      </c>
      <c r="K43" s="28">
        <f>'electricity - CO2e'!V38</f>
        <v>16.35566592</v>
      </c>
      <c r="L43" s="28">
        <f t="shared" si="30"/>
        <v>26481.385540901465</v>
      </c>
      <c r="M43" s="28">
        <f t="shared" si="35"/>
        <v>0</v>
      </c>
      <c r="N43" s="28">
        <f t="shared" si="31"/>
        <v>702.13384060600538</v>
      </c>
      <c r="O43" s="28">
        <f t="shared" si="32"/>
        <v>27183.519381507471</v>
      </c>
      <c r="P43" s="29">
        <f t="shared" si="33"/>
        <v>2.7183519381507471E-2</v>
      </c>
      <c r="Q43" s="28"/>
      <c r="R43" s="29">
        <f t="shared" si="34"/>
        <v>3.542182001517738E-2</v>
      </c>
    </row>
    <row r="44" spans="1:18">
      <c r="A44" s="27" t="s">
        <v>10</v>
      </c>
      <c r="E44" s="28"/>
      <c r="G44" s="28"/>
      <c r="H44" s="28"/>
      <c r="I44" s="28"/>
      <c r="J44" s="26"/>
      <c r="K44" s="28"/>
      <c r="Q44" s="28"/>
    </row>
    <row r="45" spans="1:18">
      <c r="A45" s="27">
        <v>1892984</v>
      </c>
      <c r="C45" s="50">
        <v>2014</v>
      </c>
      <c r="D45" s="28">
        <v>16672.447011</v>
      </c>
      <c r="E45" s="28"/>
      <c r="F45" s="28">
        <v>11784.626484230939</v>
      </c>
      <c r="G45" s="28">
        <v>435</v>
      </c>
      <c r="H45" s="28">
        <f t="shared" ref="H45:H50" si="37">D45-F45-J45</f>
        <v>4887.820526769061</v>
      </c>
      <c r="I45" s="28">
        <v>943.58</v>
      </c>
      <c r="J45" s="26"/>
      <c r="K45" s="28"/>
      <c r="L45" s="28">
        <f>J45*(K45/2204.6)*1000</f>
        <v>0</v>
      </c>
      <c r="M45" s="28">
        <f t="shared" si="35"/>
        <v>2091987.1854571579</v>
      </c>
      <c r="N45" s="28">
        <f t="shared" ref="N45:N50" si="38">F45*(G45/2204.6)*1000</f>
        <v>2325280.1055250196</v>
      </c>
      <c r="O45" s="28">
        <f t="shared" ref="O45:O50" si="39">L45+M45+N45</f>
        <v>4417267.2909821775</v>
      </c>
      <c r="P45" s="29">
        <f t="shared" ref="P45:P50" si="40">(L45+M45+N45)/1000000</f>
        <v>4.4172672909821777</v>
      </c>
      <c r="Q45" s="28"/>
      <c r="R45" s="29">
        <f t="shared" ref="R45:R50" si="41">(P45/A45)*1000000</f>
        <v>2.3334942561491157</v>
      </c>
    </row>
    <row r="46" spans="1:18">
      <c r="A46" s="27">
        <v>1917481</v>
      </c>
      <c r="C46" s="50">
        <v>2015</v>
      </c>
      <c r="D46" s="28">
        <v>16807.201679999998</v>
      </c>
      <c r="E46" s="28"/>
      <c r="F46" s="28">
        <v>11806.129341384631</v>
      </c>
      <c r="G46" s="28">
        <v>405</v>
      </c>
      <c r="H46" s="28">
        <f t="shared" si="37"/>
        <v>5001.0723386153677</v>
      </c>
      <c r="I46" s="28">
        <v>943.58</v>
      </c>
      <c r="J46" s="26"/>
      <c r="L46" s="28">
        <f>J46*(J49/2204.6)*1000</f>
        <v>0</v>
      </c>
      <c r="M46" s="28">
        <f t="shared" si="35"/>
        <v>2140458.960927377</v>
      </c>
      <c r="N46" s="28">
        <f t="shared" si="38"/>
        <v>2168866.1812849385</v>
      </c>
      <c r="O46" s="28">
        <f t="shared" si="39"/>
        <v>4309325.1422123155</v>
      </c>
      <c r="P46" s="29">
        <f t="shared" si="40"/>
        <v>4.3093251422123151</v>
      </c>
      <c r="Q46" s="28"/>
      <c r="R46" s="29">
        <f t="shared" si="41"/>
        <v>2.247388705396463</v>
      </c>
    </row>
    <row r="47" spans="1:18">
      <c r="A47" s="27">
        <v>1929581</v>
      </c>
      <c r="C47" s="50">
        <v>2016</v>
      </c>
      <c r="D47" s="28">
        <v>16824.436062000001</v>
      </c>
      <c r="E47" s="28"/>
      <c r="F47" s="28">
        <v>11570.996060304349</v>
      </c>
      <c r="G47" s="28">
        <v>294</v>
      </c>
      <c r="H47" s="28">
        <f t="shared" si="37"/>
        <v>5253.4400016956515</v>
      </c>
      <c r="I47" s="28">
        <v>943.58</v>
      </c>
      <c r="J47" s="26"/>
      <c r="L47" s="28">
        <f>J47*(J48/2204.6)*1000</f>
        <v>0</v>
      </c>
      <c r="M47" s="28">
        <f t="shared" si="35"/>
        <v>2248472.320725739</v>
      </c>
      <c r="N47" s="28">
        <f t="shared" si="38"/>
        <v>1543079.3984076381</v>
      </c>
      <c r="O47" s="28">
        <f t="shared" si="39"/>
        <v>3791551.7191333771</v>
      </c>
      <c r="P47" s="29">
        <f t="shared" si="40"/>
        <v>3.791551719133377</v>
      </c>
      <c r="Q47" s="28"/>
      <c r="R47" s="29">
        <f t="shared" si="41"/>
        <v>1.9649611595125456</v>
      </c>
    </row>
    <row r="48" spans="1:18">
      <c r="A48" s="27">
        <v>1933383</v>
      </c>
      <c r="B48" s="42" t="s">
        <v>54</v>
      </c>
      <c r="C48" s="50">
        <v>2017</v>
      </c>
      <c r="D48" s="28">
        <v>17024.523800999999</v>
      </c>
      <c r="E48" s="28"/>
      <c r="F48" s="28">
        <f>11585.5306552006-J48</f>
        <v>9586.4156552006007</v>
      </c>
      <c r="G48" s="28">
        <v>210</v>
      </c>
      <c r="H48" s="28">
        <f t="shared" si="37"/>
        <v>5438.9931457993989</v>
      </c>
      <c r="I48" s="28">
        <v>943.58</v>
      </c>
      <c r="J48" s="28">
        <f>(60867+1938248)/1000</f>
        <v>1999.115</v>
      </c>
      <c r="K48" s="28">
        <v>4</v>
      </c>
      <c r="L48" s="28">
        <f>J48*(K48/2204.6)*1000</f>
        <v>3627.1704617617711</v>
      </c>
      <c r="M48" s="28">
        <f t="shared" si="35"/>
        <v>2327889.0664021429</v>
      </c>
      <c r="N48" s="28">
        <f t="shared" si="38"/>
        <v>913157.61933780555</v>
      </c>
      <c r="O48" s="28">
        <f t="shared" si="39"/>
        <v>3244673.8562017102</v>
      </c>
      <c r="P48" s="29">
        <f t="shared" si="40"/>
        <v>3.2446738562017101</v>
      </c>
      <c r="Q48" s="28"/>
      <c r="R48" s="29">
        <f t="shared" si="41"/>
        <v>1.6782364674778407</v>
      </c>
    </row>
    <row r="49" spans="1:18">
      <c r="A49" s="27">
        <v>1937570</v>
      </c>
      <c r="B49" s="42" t="s">
        <v>53</v>
      </c>
      <c r="C49" s="27">
        <v>2018</v>
      </c>
      <c r="D49" s="28">
        <v>16708.080341000001</v>
      </c>
      <c r="E49" s="28"/>
      <c r="F49" s="28">
        <f>11217.5588195725-J49</f>
        <v>7513.9908195724993</v>
      </c>
      <c r="G49" s="28">
        <v>206</v>
      </c>
      <c r="H49" s="28">
        <f t="shared" si="37"/>
        <v>5490.5215214275004</v>
      </c>
      <c r="I49" s="28">
        <v>943.58</v>
      </c>
      <c r="J49" s="28">
        <f>(43400+98888+3561280)/1000</f>
        <v>3703.5680000000002</v>
      </c>
      <c r="K49" s="28">
        <v>5</v>
      </c>
      <c r="L49" s="28">
        <f>J49*(K49/2204.6)*1000</f>
        <v>8399.6371223804781</v>
      </c>
      <c r="M49" s="28">
        <f t="shared" si="35"/>
        <v>2349943.2111709705</v>
      </c>
      <c r="N49" s="28">
        <f t="shared" si="38"/>
        <v>702114.7186936111</v>
      </c>
      <c r="O49" s="28">
        <f t="shared" si="39"/>
        <v>3060457.5669869622</v>
      </c>
      <c r="P49" s="29">
        <f t="shared" si="40"/>
        <v>3.0604575669869623</v>
      </c>
      <c r="Q49" s="28"/>
      <c r="R49" s="29">
        <f t="shared" si="41"/>
        <v>1.5795339352833511</v>
      </c>
    </row>
    <row r="50" spans="1:18">
      <c r="A50" s="27">
        <v>1927852</v>
      </c>
      <c r="C50" s="27">
        <v>2019</v>
      </c>
      <c r="D50" s="28">
        <v>16664</v>
      </c>
      <c r="E50" s="28"/>
      <c r="F50" s="28">
        <f>11055.674228-J50</f>
        <v>3618.9632279999996</v>
      </c>
      <c r="G50" s="28">
        <v>3</v>
      </c>
      <c r="H50" s="28">
        <f t="shared" si="37"/>
        <v>5608.3257719999992</v>
      </c>
      <c r="I50" s="28">
        <v>943.58</v>
      </c>
      <c r="J50" s="26">
        <f>((3419342+33782)+(147090+3836497))/1000</f>
        <v>7436.7110000000002</v>
      </c>
      <c r="K50" s="26">
        <f>(340*((3419342+33782)/((3419342+33782)+(147090+3836497))))+(3*((147090+3836497)/((3419342+33782)+(147090+3836497))))</f>
        <v>159.48084052210714</v>
      </c>
      <c r="L50" s="28">
        <f>((3836497+147090)+(33782+3419352))/1000</f>
        <v>7436.7209999999995</v>
      </c>
      <c r="M50" s="28">
        <f t="shared" si="35"/>
        <v>2400363.4304159996</v>
      </c>
      <c r="N50" s="28">
        <f t="shared" si="38"/>
        <v>4924.6528549396717</v>
      </c>
      <c r="O50" s="28">
        <f t="shared" si="39"/>
        <v>2412724.804270939</v>
      </c>
      <c r="P50" s="29">
        <f t="shared" si="40"/>
        <v>2.412724804270939</v>
      </c>
      <c r="Q50" s="28"/>
      <c r="R50" s="29">
        <f t="shared" si="41"/>
        <v>1.2515093504433634</v>
      </c>
    </row>
    <row r="51" spans="1:18">
      <c r="A51" s="27" t="s">
        <v>11</v>
      </c>
      <c r="E51" s="28"/>
      <c r="G51" s="28"/>
      <c r="H51" s="28"/>
      <c r="I51" s="28"/>
      <c r="J51" s="26"/>
      <c r="K51" s="28"/>
      <c r="Q51" s="28"/>
    </row>
    <row r="52" spans="1:18">
      <c r="A52" s="27">
        <v>429155</v>
      </c>
      <c r="C52" s="50">
        <v>2014</v>
      </c>
      <c r="D52" s="28">
        <v>3216</v>
      </c>
      <c r="E52" s="28"/>
      <c r="F52" s="28">
        <f>2590.4706896641-J52</f>
        <v>2590.4706896641001</v>
      </c>
      <c r="G52" s="28">
        <v>435</v>
      </c>
      <c r="H52" s="28">
        <f t="shared" ref="H52:H57" si="42">D52-F52-J52</f>
        <v>625.52931033589994</v>
      </c>
      <c r="I52" s="28">
        <v>943.58</v>
      </c>
      <c r="J52" s="26">
        <v>0</v>
      </c>
      <c r="K52" s="28">
        <v>324</v>
      </c>
      <c r="L52" s="28">
        <f t="shared" ref="L52:L57" si="43">J52*(K52/2204.6)*1000</f>
        <v>0</v>
      </c>
      <c r="M52" s="28">
        <f t="shared" si="35"/>
        <v>267726.54482376517</v>
      </c>
      <c r="N52" s="28">
        <f t="shared" ref="N52:N57" si="44">F52*(G52/2204.6)*1000</f>
        <v>511137.9615367339</v>
      </c>
      <c r="O52" s="28">
        <f t="shared" ref="O52:O57" si="45">L52+M52+N52</f>
        <v>778864.50636049907</v>
      </c>
      <c r="P52" s="29">
        <f t="shared" ref="P52:P57" si="46">(L52+M52+N52)/1000000</f>
        <v>0.77886450636049909</v>
      </c>
      <c r="Q52" s="28"/>
      <c r="R52" s="29">
        <f t="shared" ref="R52:R57" si="47">(P52/A52)*1000000</f>
        <v>1.8148792542566186</v>
      </c>
    </row>
    <row r="53" spans="1:18">
      <c r="A53" s="27">
        <v>433708</v>
      </c>
      <c r="C53" s="50">
        <v>2015</v>
      </c>
      <c r="D53" s="28">
        <v>3209</v>
      </c>
      <c r="E53" s="28"/>
      <c r="F53" s="28">
        <f>2599.82250223053-J53</f>
        <v>2524.635383393168</v>
      </c>
      <c r="G53" s="28">
        <v>405</v>
      </c>
      <c r="H53" s="28">
        <f t="shared" si="42"/>
        <v>609.17749776946994</v>
      </c>
      <c r="I53" s="28">
        <v>943.58</v>
      </c>
      <c r="J53" s="28">
        <v>75.187118837361993</v>
      </c>
      <c r="K53" s="28">
        <v>323</v>
      </c>
      <c r="L53" s="28">
        <f t="shared" si="43"/>
        <v>11015.803041126701</v>
      </c>
      <c r="M53" s="28">
        <f t="shared" si="35"/>
        <v>260727.9690453331</v>
      </c>
      <c r="N53" s="28">
        <f t="shared" si="44"/>
        <v>463792.67453244718</v>
      </c>
      <c r="O53" s="28">
        <f>L53+M53+N53</f>
        <v>735536.44661890692</v>
      </c>
      <c r="P53" s="29">
        <f>(L53+M53+N53)/1000000</f>
        <v>0.73553644661890694</v>
      </c>
      <c r="Q53" s="28"/>
      <c r="R53" s="29">
        <f t="shared" si="47"/>
        <v>1.6959254766315286</v>
      </c>
    </row>
    <row r="54" spans="1:18">
      <c r="A54" s="27">
        <v>439300</v>
      </c>
      <c r="C54" s="50">
        <v>2016</v>
      </c>
      <c r="D54" s="28">
        <v>3211</v>
      </c>
      <c r="E54" s="28"/>
      <c r="F54" s="28">
        <f>2608.61459341103-J54</f>
        <v>2488.6399623180082</v>
      </c>
      <c r="G54" s="28">
        <v>294</v>
      </c>
      <c r="H54" s="28">
        <f t="shared" si="42"/>
        <v>602.38540658896989</v>
      </c>
      <c r="I54" s="28">
        <v>943.58</v>
      </c>
      <c r="J54" s="28">
        <v>119.97463109302188</v>
      </c>
      <c r="K54" s="28">
        <v>279</v>
      </c>
      <c r="L54" s="28">
        <f t="shared" si="43"/>
        <v>15183.217851289626</v>
      </c>
      <c r="M54" s="28">
        <f t="shared" si="35"/>
        <v>257820.95402007911</v>
      </c>
      <c r="N54" s="28">
        <f t="shared" si="44"/>
        <v>331878.86642542615</v>
      </c>
      <c r="O54" s="28">
        <f t="shared" si="45"/>
        <v>604883.03829679487</v>
      </c>
      <c r="P54" s="29">
        <f t="shared" si="46"/>
        <v>0.60488303829679491</v>
      </c>
      <c r="Q54" s="28"/>
      <c r="R54" s="29">
        <f t="shared" si="47"/>
        <v>1.3769247400336784</v>
      </c>
    </row>
    <row r="55" spans="1:18">
      <c r="A55" s="27">
        <v>443877</v>
      </c>
      <c r="C55" s="50">
        <v>2017</v>
      </c>
      <c r="D55" s="28">
        <v>3217</v>
      </c>
      <c r="E55" s="28"/>
      <c r="F55" s="28">
        <f>2559.74409208743-J55</f>
        <v>2441.5375140794522</v>
      </c>
      <c r="G55" s="28">
        <v>210</v>
      </c>
      <c r="H55" s="28">
        <f t="shared" si="42"/>
        <v>657.25590791256991</v>
      </c>
      <c r="I55" s="28">
        <v>943.58</v>
      </c>
      <c r="J55" s="28">
        <v>118.2065780079779</v>
      </c>
      <c r="K55" s="28">
        <v>109</v>
      </c>
      <c r="L55" s="28">
        <f t="shared" si="43"/>
        <v>5844.3785733782051</v>
      </c>
      <c r="M55" s="28">
        <f t="shared" si="35"/>
        <v>281305.52858657989</v>
      </c>
      <c r="N55" s="28">
        <f t="shared" si="44"/>
        <v>232569.57178476139</v>
      </c>
      <c r="O55" s="28">
        <f t="shared" si="45"/>
        <v>519719.47894471948</v>
      </c>
      <c r="P55" s="29">
        <f t="shared" si="46"/>
        <v>0.51971947894471948</v>
      </c>
      <c r="Q55" s="28"/>
      <c r="R55" s="29">
        <f t="shared" si="47"/>
        <v>1.1708637278902028</v>
      </c>
    </row>
    <row r="56" spans="1:18">
      <c r="A56" s="27">
        <v>446610</v>
      </c>
      <c r="C56" s="50">
        <v>2018</v>
      </c>
      <c r="D56" s="28">
        <v>3268</v>
      </c>
      <c r="E56" s="28"/>
      <c r="F56" s="28">
        <f>2499.80781041636-J56</f>
        <v>2390.7128461846401</v>
      </c>
      <c r="G56" s="28">
        <v>206</v>
      </c>
      <c r="H56" s="28">
        <f t="shared" si="42"/>
        <v>768.19218958364002</v>
      </c>
      <c r="I56" s="28">
        <v>943.58</v>
      </c>
      <c r="J56" s="28">
        <v>109.09496423171996</v>
      </c>
      <c r="K56" s="28">
        <v>122</v>
      </c>
      <c r="L56" s="28">
        <f t="shared" si="43"/>
        <v>6037.1884406558265</v>
      </c>
      <c r="M56" s="28">
        <f t="shared" si="35"/>
        <v>328786.25714179792</v>
      </c>
      <c r="N56" s="28">
        <f t="shared" si="44"/>
        <v>223390.56804592031</v>
      </c>
      <c r="O56" s="28">
        <f t="shared" si="45"/>
        <v>558214.01362837409</v>
      </c>
      <c r="P56" s="29">
        <f t="shared" si="46"/>
        <v>0.55821401362837408</v>
      </c>
      <c r="Q56" s="28"/>
      <c r="R56" s="29">
        <f t="shared" si="47"/>
        <v>1.2498914346485168</v>
      </c>
    </row>
    <row r="57" spans="1:18">
      <c r="A57" s="27">
        <v>447643</v>
      </c>
      <c r="C57" s="27">
        <v>2019</v>
      </c>
      <c r="D57" s="28">
        <v>3227</v>
      </c>
      <c r="E57" s="28"/>
      <c r="F57" s="28">
        <f>2440.926474-J57</f>
        <v>2327.9464944197639</v>
      </c>
      <c r="G57" s="28">
        <v>3</v>
      </c>
      <c r="H57" s="28">
        <f t="shared" si="42"/>
        <v>786.07352600000002</v>
      </c>
      <c r="I57" s="28">
        <v>943.58</v>
      </c>
      <c r="J57" s="26">
        <v>112.97997958023609</v>
      </c>
      <c r="K57" s="28">
        <v>91</v>
      </c>
      <c r="L57" s="28">
        <f t="shared" si="43"/>
        <v>4663.5118124836636</v>
      </c>
      <c r="M57" s="28">
        <f t="shared" si="35"/>
        <v>336439.46912799997</v>
      </c>
      <c r="N57" s="28">
        <f t="shared" si="44"/>
        <v>3167.8488085182312</v>
      </c>
      <c r="O57" s="28">
        <f t="shared" si="45"/>
        <v>344270.82974900183</v>
      </c>
      <c r="P57" s="29">
        <f t="shared" si="46"/>
        <v>0.34427082974900181</v>
      </c>
      <c r="Q57" s="28"/>
      <c r="R57" s="29">
        <f t="shared" si="47"/>
        <v>0.76907452981282365</v>
      </c>
    </row>
    <row r="58" spans="1:18">
      <c r="A58" s="27" t="s">
        <v>12</v>
      </c>
      <c r="E58" s="28"/>
      <c r="K58" s="28"/>
      <c r="Q58" s="28"/>
    </row>
    <row r="59" spans="1:18">
      <c r="A59" s="27">
        <v>498803</v>
      </c>
      <c r="B59" s="42" t="s">
        <v>51</v>
      </c>
      <c r="C59" s="50">
        <v>2014</v>
      </c>
      <c r="D59" s="28">
        <v>2939</v>
      </c>
      <c r="E59" s="28"/>
      <c r="F59" s="28">
        <f>(2731712/1000)-J59</f>
        <v>2731.712</v>
      </c>
      <c r="G59" s="28">
        <v>435</v>
      </c>
      <c r="H59" s="28">
        <f>D59-F59-J59</f>
        <v>207.28800000000001</v>
      </c>
      <c r="I59" s="28">
        <v>943.58</v>
      </c>
      <c r="J59" s="26"/>
      <c r="K59" s="28">
        <v>224</v>
      </c>
      <c r="L59" s="28">
        <f t="shared" ref="L59:L64" si="48">J59*(K59/2204.6)*1000</f>
        <v>0</v>
      </c>
      <c r="M59" s="28">
        <f t="shared" si="35"/>
        <v>88719.26400000001</v>
      </c>
      <c r="N59" s="28">
        <f t="shared" ref="N59:N64" si="49">F59*(G59/2204.6)*1000</f>
        <v>539006.94910641375</v>
      </c>
      <c r="O59" s="28">
        <f t="shared" ref="O59:O64" si="50">L59+M59+N59</f>
        <v>627726.21310641372</v>
      </c>
      <c r="P59" s="29">
        <f t="shared" ref="P59:P64" si="51">(L59+M59+N59)/1000000</f>
        <v>0.62772621310641374</v>
      </c>
      <c r="Q59" s="28"/>
      <c r="R59" s="29">
        <f t="shared" ref="R59:R64" si="52">(P59/A59)*1000000</f>
        <v>1.2584651918821934</v>
      </c>
    </row>
    <row r="60" spans="1:18">
      <c r="A60" s="27">
        <v>501346</v>
      </c>
      <c r="C60" s="50">
        <v>2015</v>
      </c>
      <c r="D60" s="28">
        <v>2933</v>
      </c>
      <c r="E60" s="28"/>
      <c r="F60" s="28">
        <f>2703.55856122908-J60</f>
        <v>958.55856122908017</v>
      </c>
      <c r="G60" s="28">
        <v>405</v>
      </c>
      <c r="H60" s="28">
        <f t="shared" ref="H60:H64" si="53">D60-F60-J60</f>
        <v>229.44143877091983</v>
      </c>
      <c r="I60" s="28">
        <v>943.58</v>
      </c>
      <c r="J60" s="26">
        <v>1745</v>
      </c>
      <c r="K60" s="28">
        <v>218</v>
      </c>
      <c r="L60" s="28">
        <f t="shared" si="48"/>
        <v>172552.84405334303</v>
      </c>
      <c r="M60" s="28">
        <f t="shared" si="35"/>
        <v>98200.935793953686</v>
      </c>
      <c r="N60" s="28">
        <f t="shared" si="49"/>
        <v>176093.72099146215</v>
      </c>
      <c r="O60" s="28">
        <f t="shared" si="50"/>
        <v>446847.50083875889</v>
      </c>
      <c r="P60" s="29">
        <f t="shared" si="51"/>
        <v>0.4468475008387589</v>
      </c>
      <c r="Q60" s="28"/>
      <c r="R60" s="29">
        <f t="shared" si="52"/>
        <v>0.89129563383124411</v>
      </c>
    </row>
    <row r="61" spans="1:18">
      <c r="A61" s="27">
        <v>503249</v>
      </c>
      <c r="C61" s="50">
        <v>2016</v>
      </c>
      <c r="D61" s="28">
        <v>2951</v>
      </c>
      <c r="E61" s="28"/>
      <c r="F61" s="28">
        <f>2704.79775113373-J61</f>
        <v>518.07175113372978</v>
      </c>
      <c r="G61" s="28">
        <v>294</v>
      </c>
      <c r="H61" s="28">
        <f t="shared" si="53"/>
        <v>246.20224886627011</v>
      </c>
      <c r="I61" s="28">
        <v>943.58</v>
      </c>
      <c r="J61" s="26">
        <f>(2178195+8531)/1000</f>
        <v>2186.7260000000001</v>
      </c>
      <c r="K61" s="28">
        <v>97.6</v>
      </c>
      <c r="L61" s="28">
        <f t="shared" si="48"/>
        <v>96808.698902295204</v>
      </c>
      <c r="M61" s="28">
        <f t="shared" si="35"/>
        <v>105374.56251476362</v>
      </c>
      <c r="N61" s="28">
        <f t="shared" si="49"/>
        <v>69088.766594083543</v>
      </c>
      <c r="O61" s="28">
        <f t="shared" si="50"/>
        <v>271272.02801114239</v>
      </c>
      <c r="P61" s="29">
        <f t="shared" si="51"/>
        <v>0.27127202801114242</v>
      </c>
      <c r="Q61" s="28"/>
      <c r="R61" s="29">
        <f t="shared" si="52"/>
        <v>0.53904136523101365</v>
      </c>
    </row>
    <row r="62" spans="1:18">
      <c r="A62" s="27">
        <v>503246</v>
      </c>
      <c r="C62" s="50">
        <v>2017</v>
      </c>
      <c r="D62" s="28">
        <v>3006</v>
      </c>
      <c r="E62" s="28"/>
      <c r="F62" s="28">
        <f>2720.6215228279-J62</f>
        <v>340.05952282790031</v>
      </c>
      <c r="G62" s="28">
        <v>210</v>
      </c>
      <c r="H62" s="28">
        <f t="shared" si="53"/>
        <v>285.37847717209979</v>
      </c>
      <c r="I62" s="28">
        <v>943.58</v>
      </c>
      <c r="J62" s="26">
        <f>(2367075+13487)/1000</f>
        <v>2380.5619999999999</v>
      </c>
      <c r="K62" s="28">
        <v>128</v>
      </c>
      <c r="L62" s="28">
        <f t="shared" si="48"/>
        <v>138216.42746983579</v>
      </c>
      <c r="M62" s="28">
        <f t="shared" si="35"/>
        <v>122141.9882296587</v>
      </c>
      <c r="N62" s="28">
        <f t="shared" si="49"/>
        <v>32392.497411711454</v>
      </c>
      <c r="O62" s="28">
        <f t="shared" si="50"/>
        <v>292750.91311120591</v>
      </c>
      <c r="P62" s="29">
        <f t="shared" si="51"/>
        <v>0.29275091311120593</v>
      </c>
      <c r="Q62" s="28"/>
      <c r="R62" s="29">
        <f t="shared" si="52"/>
        <v>0.58172526579685868</v>
      </c>
    </row>
    <row r="63" spans="1:18">
      <c r="A63" s="27">
        <v>499942</v>
      </c>
      <c r="C63" s="50">
        <v>2018</v>
      </c>
      <c r="D63" s="28">
        <v>2911</v>
      </c>
      <c r="E63" s="28"/>
      <c r="F63" s="28">
        <f>2601.47305663843-J63</f>
        <v>191.63105663842998</v>
      </c>
      <c r="G63" s="28">
        <v>206</v>
      </c>
      <c r="H63" s="28">
        <f t="shared" si="53"/>
        <v>309.52694336156992</v>
      </c>
      <c r="I63" s="28">
        <v>943.58</v>
      </c>
      <c r="J63" s="26">
        <f>(2392444+17398)/1000</f>
        <v>2409.8420000000001</v>
      </c>
      <c r="K63" s="28">
        <v>98.8</v>
      </c>
      <c r="L63" s="28">
        <f t="shared" si="48"/>
        <v>107997.99945568359</v>
      </c>
      <c r="M63" s="28">
        <f t="shared" si="35"/>
        <v>132477.53175875192</v>
      </c>
      <c r="N63" s="28">
        <f t="shared" si="49"/>
        <v>17906.195077345812</v>
      </c>
      <c r="O63" s="28">
        <f t="shared" si="50"/>
        <v>258381.72629178135</v>
      </c>
      <c r="P63" s="29">
        <f t="shared" si="51"/>
        <v>0.25838172629178136</v>
      </c>
      <c r="Q63" s="28"/>
      <c r="R63" s="29">
        <f t="shared" si="52"/>
        <v>0.51682340409843808</v>
      </c>
    </row>
    <row r="64" spans="1:18">
      <c r="A64" s="27">
        <v>494336</v>
      </c>
      <c r="C64" s="27">
        <v>2019</v>
      </c>
      <c r="D64" s="28">
        <v>2880</v>
      </c>
      <c r="F64" s="28">
        <f>2538.371261-J64</f>
        <v>177.95026099999995</v>
      </c>
      <c r="G64" s="28">
        <v>3</v>
      </c>
      <c r="H64" s="28">
        <f t="shared" si="53"/>
        <v>341.62873900000022</v>
      </c>
      <c r="I64" s="28">
        <v>943.58</v>
      </c>
      <c r="J64" s="26">
        <f>(2340549+19872)/1000</f>
        <v>2360.4209999999998</v>
      </c>
      <c r="K64" s="38">
        <f>'electricity - CO2e'!V24</f>
        <v>39.469560000000001</v>
      </c>
      <c r="L64" s="28">
        <f t="shared" si="48"/>
        <v>42259.266209180809</v>
      </c>
      <c r="M64" s="28">
        <f t="shared" si="35"/>
        <v>146217.10029200008</v>
      </c>
      <c r="N64" s="28">
        <f t="shared" si="49"/>
        <v>242.15312664428919</v>
      </c>
      <c r="O64" s="28">
        <f t="shared" si="50"/>
        <v>188718.51962782518</v>
      </c>
      <c r="P64" s="29">
        <f t="shared" si="51"/>
        <v>0.18871851962782518</v>
      </c>
      <c r="R64" s="29">
        <f t="shared" si="52"/>
        <v>0.38176163505758265</v>
      </c>
    </row>
    <row r="65" spans="1:18">
      <c r="C65" s="50"/>
      <c r="J65" s="26"/>
    </row>
    <row r="66" spans="1:18">
      <c r="A66" s="27" t="s">
        <v>27</v>
      </c>
    </row>
    <row r="67" spans="1:18">
      <c r="A67" s="27">
        <f>A3+A10+A17+A24+A31+A38+A45+A52+A59</f>
        <v>7548762</v>
      </c>
      <c r="C67" s="50">
        <v>2014</v>
      </c>
      <c r="D67" s="28">
        <f t="shared" ref="D67:D72" si="54">D3+D10+D17+D24+D31+D38+D45+D52+D59</f>
        <v>55414.972431000002</v>
      </c>
      <c r="E67" s="28"/>
      <c r="F67" s="38">
        <f>F3+F10+F17+F24+F31+F38+F45+F52+F59</f>
        <v>42558.953490025728</v>
      </c>
      <c r="H67" s="38">
        <f>H3+H10+H17+H24+H31+H38+H45+H52+H59</f>
        <v>11562.878048892697</v>
      </c>
      <c r="J67" s="38">
        <f>J3+J10+J17+J24+J31+J38+J45+J52+J59</f>
        <v>1293.1408920815741</v>
      </c>
      <c r="L67" s="28">
        <f t="shared" ref="L67:O67" si="55">L3+L10+L17+L24+L31+L38+L45+L52+L59</f>
        <v>190047.01489359976</v>
      </c>
      <c r="M67" s="28">
        <f t="shared" si="55"/>
        <v>4948911.8049260732</v>
      </c>
      <c r="N67" s="28">
        <f t="shared" si="55"/>
        <v>8397507.3791895099</v>
      </c>
      <c r="O67" s="28">
        <f t="shared" si="55"/>
        <v>13536466.199009182</v>
      </c>
      <c r="P67" s="40">
        <f t="shared" ref="P67:P72" si="56">P3+P10+P17+P24+P31+P38+P45+P52+P59</f>
        <v>13.536466199009183</v>
      </c>
      <c r="R67" s="29">
        <f t="shared" ref="R67:R72" si="57">(P67/A67)*1000000</f>
        <v>1.7932034681990483</v>
      </c>
    </row>
    <row r="68" spans="1:18">
      <c r="A68" s="27">
        <f>A4+A11+A18+A25+A32+A39+A46+A53+A60</f>
        <v>7643170</v>
      </c>
      <c r="C68" s="50">
        <v>2015</v>
      </c>
      <c r="D68" s="28">
        <f t="shared" si="54"/>
        <v>55297.091487999998</v>
      </c>
      <c r="E68" s="28"/>
      <c r="F68" s="38">
        <f t="shared" ref="F68:F71" si="58">F4+F11+F18+F25+F32+F39+F46+F53+F60</f>
        <v>40049.428008947281</v>
      </c>
      <c r="H68" s="38">
        <f t="shared" ref="H68:H72" si="59">H4+H11+H18+H25+H32+H39+H46+H53+H60</f>
        <v>11763.493040875559</v>
      </c>
      <c r="J68" s="38">
        <f t="shared" ref="J68:J72" si="60">J4+J11+J18+J25+J32+J39+J46+J53+J60</f>
        <v>3484.1704381771551</v>
      </c>
      <c r="L68" s="28">
        <f t="shared" ref="L68:O68" si="61">L4+L11+L18+L25+L32+L39+L46+L53+L60</f>
        <v>427361.90308047773</v>
      </c>
      <c r="M68" s="28">
        <f t="shared" si="61"/>
        <v>5034775.0214947397</v>
      </c>
      <c r="N68" s="28">
        <f t="shared" si="61"/>
        <v>7357352.0564381983</v>
      </c>
      <c r="O68" s="28">
        <f t="shared" si="61"/>
        <v>12819488.981013414</v>
      </c>
      <c r="P68" s="40">
        <f t="shared" si="56"/>
        <v>12.819488981013414</v>
      </c>
      <c r="R68" s="29">
        <f t="shared" si="57"/>
        <v>1.6772476578452937</v>
      </c>
    </row>
    <row r="69" spans="1:18">
      <c r="A69" s="27">
        <v>7702447</v>
      </c>
      <c r="C69" s="50">
        <v>2016</v>
      </c>
      <c r="D69" s="28">
        <f t="shared" si="54"/>
        <v>55865.380157</v>
      </c>
      <c r="E69" s="28"/>
      <c r="F69" s="38">
        <f t="shared" si="58"/>
        <v>37990.183606493352</v>
      </c>
      <c r="H69" s="38">
        <f t="shared" si="59"/>
        <v>13002.565102361541</v>
      </c>
      <c r="J69" s="38">
        <f t="shared" si="60"/>
        <v>4872.6314481451072</v>
      </c>
      <c r="L69" s="28">
        <f t="shared" ref="L69:O69" si="62">L5+L12+L19+L26+L33+L40+L47+L54+L61</f>
        <v>410073.29521567858</v>
      </c>
      <c r="M69" s="28">
        <f t="shared" si="62"/>
        <v>5565097.8638107404</v>
      </c>
      <c r="N69" s="28">
        <f t="shared" si="62"/>
        <v>5066276.8666919386</v>
      </c>
      <c r="O69" s="28">
        <f t="shared" si="62"/>
        <v>11041448.025718356</v>
      </c>
      <c r="P69" s="40">
        <f t="shared" si="56"/>
        <v>11.041448025718354</v>
      </c>
      <c r="R69" s="29">
        <f t="shared" si="57"/>
        <v>1.4334987343266827</v>
      </c>
    </row>
    <row r="70" spans="1:18">
      <c r="A70" s="27">
        <f>A6+A13+A20+A27+A34+A41+A48+A55+A62</f>
        <v>7731585</v>
      </c>
      <c r="C70" s="50">
        <v>2017</v>
      </c>
      <c r="D70" s="28">
        <f t="shared" si="54"/>
        <v>56550.694895000008</v>
      </c>
      <c r="E70" s="28"/>
      <c r="F70" s="38">
        <f t="shared" si="58"/>
        <v>32282.761948465326</v>
      </c>
      <c r="H70" s="38">
        <f t="shared" si="59"/>
        <v>13609.962355874428</v>
      </c>
      <c r="J70" s="38">
        <f t="shared" si="60"/>
        <v>10657.970590660245</v>
      </c>
      <c r="L70" s="28">
        <f t="shared" ref="L70:O70" si="63">L6+L13+L20+L27+L34+L41+L48+L55+L62</f>
        <v>463296.46116391494</v>
      </c>
      <c r="M70" s="28">
        <f t="shared" si="63"/>
        <v>5825063.8883142546</v>
      </c>
      <c r="N70" s="28">
        <f t="shared" si="63"/>
        <v>3075106.5994637208</v>
      </c>
      <c r="O70" s="28">
        <f t="shared" si="63"/>
        <v>9363466.9489418902</v>
      </c>
      <c r="P70" s="40">
        <f t="shared" si="56"/>
        <v>9.3634669489418911</v>
      </c>
      <c r="R70" s="29">
        <f t="shared" si="57"/>
        <v>1.211066935038791</v>
      </c>
    </row>
    <row r="71" spans="1:18">
      <c r="A71" s="27">
        <f>A7+A14+A21+A28+A35+A42+A49+A56+A63</f>
        <v>7753023</v>
      </c>
      <c r="C71" s="50">
        <v>2018</v>
      </c>
      <c r="D71" s="28">
        <f t="shared" si="54"/>
        <v>54756.792474000002</v>
      </c>
      <c r="E71" s="28"/>
      <c r="F71" s="38">
        <f t="shared" si="58"/>
        <v>24575.232284104426</v>
      </c>
      <c r="H71" s="38">
        <f t="shared" si="59"/>
        <v>13272.364810824522</v>
      </c>
      <c r="J71" s="38">
        <f t="shared" si="60"/>
        <v>16909.19537907105</v>
      </c>
      <c r="L71" s="28">
        <f t="shared" ref="L71:O71" si="64">L7+L14+L21+L28+L35+L42+L49+L56+L63</f>
        <v>679933.75780035777</v>
      </c>
      <c r="M71" s="28">
        <f t="shared" si="64"/>
        <v>5680572.1390328938</v>
      </c>
      <c r="N71" s="28">
        <f t="shared" si="64"/>
        <v>2296333.9610475879</v>
      </c>
      <c r="O71" s="28">
        <f t="shared" si="64"/>
        <v>8656839.8578808419</v>
      </c>
      <c r="P71" s="40">
        <f t="shared" si="56"/>
        <v>8.6568398578808399</v>
      </c>
      <c r="R71" s="29">
        <f t="shared" si="57"/>
        <v>1.116576057865537</v>
      </c>
    </row>
    <row r="72" spans="1:18">
      <c r="A72" s="27">
        <f>A8+A15+A22+A29+A36+A43+A50+A57+A64</f>
        <v>7733640</v>
      </c>
      <c r="C72" s="27">
        <v>2019</v>
      </c>
      <c r="D72" s="28">
        <f t="shared" si="54"/>
        <v>55420</v>
      </c>
      <c r="F72" s="38">
        <f>F8+F15+F22+F29+F36+F43+F50+F57+F64</f>
        <v>14570.100927564266</v>
      </c>
      <c r="H72" s="38">
        <f t="shared" si="59"/>
        <v>13576.839864722999</v>
      </c>
      <c r="J72" s="38">
        <f t="shared" si="60"/>
        <v>27033.491962712731</v>
      </c>
      <c r="L72" s="28">
        <f t="shared" ref="L72:O72" si="65">L8+L15+L22+L29+L36+L43+L50+L57+L64</f>
        <v>641929.09245198034</v>
      </c>
      <c r="M72" s="28">
        <f t="shared" si="65"/>
        <v>5810887.4621014437</v>
      </c>
      <c r="N72" s="28">
        <f t="shared" si="65"/>
        <v>19826.863278006356</v>
      </c>
      <c r="O72" s="28">
        <f t="shared" si="65"/>
        <v>6472643.4178314311</v>
      </c>
      <c r="P72" s="40">
        <f t="shared" si="56"/>
        <v>6.4726434178314296</v>
      </c>
      <c r="R72" s="29">
        <f t="shared" si="57"/>
        <v>0.83694656304552961</v>
      </c>
    </row>
    <row r="73" spans="1:18">
      <c r="P73" s="29" t="s">
        <v>200</v>
      </c>
    </row>
    <row r="78" spans="1:18">
      <c r="A78" s="27" t="s">
        <v>39</v>
      </c>
      <c r="C78" s="27" t="s">
        <v>47</v>
      </c>
      <c r="D78" s="28" t="s">
        <v>48</v>
      </c>
    </row>
    <row r="79" spans="1:18">
      <c r="A79" s="51" t="s">
        <v>40</v>
      </c>
      <c r="B79" s="52"/>
      <c r="C79" s="53">
        <v>2016</v>
      </c>
      <c r="D79" s="54" t="s">
        <v>49</v>
      </c>
      <c r="E79" s="53"/>
      <c r="F79" s="54"/>
      <c r="G79" s="51"/>
      <c r="H79" s="53"/>
      <c r="I79" s="53"/>
      <c r="J79" s="55"/>
      <c r="L79" s="56"/>
      <c r="M79" s="57"/>
      <c r="N79" s="57"/>
      <c r="O79" s="57"/>
    </row>
    <row r="80" spans="1:18">
      <c r="A80" s="51" t="s">
        <v>41</v>
      </c>
      <c r="B80" s="52"/>
      <c r="C80" s="53">
        <v>2018</v>
      </c>
      <c r="D80" s="54" t="s">
        <v>0</v>
      </c>
      <c r="E80" s="53"/>
      <c r="F80" s="54"/>
      <c r="G80" s="51"/>
      <c r="H80" s="53"/>
      <c r="I80" s="53"/>
      <c r="J80" s="55"/>
      <c r="L80" s="56"/>
      <c r="M80" s="57"/>
      <c r="N80" s="57"/>
      <c r="O80" s="57"/>
    </row>
    <row r="81" spans="1:15">
      <c r="A81" s="51" t="s">
        <v>42</v>
      </c>
      <c r="B81" s="52"/>
      <c r="C81" s="53">
        <v>2010</v>
      </c>
      <c r="D81" s="54" t="s">
        <v>56</v>
      </c>
      <c r="E81" s="53"/>
      <c r="F81" s="54"/>
      <c r="G81" s="51"/>
      <c r="H81" s="53"/>
      <c r="I81" s="53"/>
      <c r="J81" s="55"/>
      <c r="L81" s="56"/>
      <c r="M81" s="57"/>
      <c r="N81" s="57"/>
      <c r="O81" s="57"/>
    </row>
    <row r="82" spans="1:15">
      <c r="A82" s="51" t="s">
        <v>43</v>
      </c>
      <c r="B82" s="52"/>
      <c r="C82" s="53">
        <v>2016</v>
      </c>
      <c r="D82" s="54" t="s">
        <v>9</v>
      </c>
      <c r="E82" s="53"/>
      <c r="F82" s="54"/>
      <c r="G82" s="51"/>
      <c r="H82" s="53"/>
      <c r="I82" s="53"/>
      <c r="J82" s="55"/>
      <c r="L82" s="56"/>
      <c r="M82" s="57"/>
      <c r="N82" s="57"/>
      <c r="O82" s="57"/>
    </row>
    <row r="83" spans="1:15">
      <c r="A83" s="51" t="s">
        <v>44</v>
      </c>
      <c r="B83" s="52"/>
      <c r="C83" s="53">
        <v>2018</v>
      </c>
      <c r="D83" s="54" t="s">
        <v>50</v>
      </c>
      <c r="E83" s="53"/>
      <c r="F83" s="54"/>
      <c r="G83" s="51"/>
      <c r="H83" s="53"/>
      <c r="I83" s="53"/>
      <c r="J83" s="55"/>
      <c r="L83" s="56"/>
      <c r="M83" s="57"/>
      <c r="N83" s="57"/>
      <c r="O83" s="57"/>
    </row>
    <row r="84" spans="1:15">
      <c r="A84" s="51" t="s">
        <v>45</v>
      </c>
      <c r="B84" s="52"/>
      <c r="C84" s="53">
        <v>2017</v>
      </c>
      <c r="D84" s="54" t="s">
        <v>10</v>
      </c>
      <c r="E84" s="53"/>
      <c r="F84" s="54"/>
      <c r="G84" s="51"/>
      <c r="H84" s="53"/>
      <c r="I84" s="53"/>
      <c r="J84" s="55"/>
      <c r="L84" s="56"/>
      <c r="M84" s="57"/>
      <c r="N84" s="57"/>
      <c r="O84" s="57"/>
    </row>
    <row r="85" spans="1:15">
      <c r="A85" s="51" t="s">
        <v>46</v>
      </c>
      <c r="B85" s="52"/>
      <c r="C85" s="53">
        <v>2014</v>
      </c>
      <c r="D85" s="54" t="s">
        <v>12</v>
      </c>
      <c r="E85" s="53"/>
      <c r="F85" s="54"/>
      <c r="G85" s="51"/>
      <c r="H85" s="53"/>
      <c r="I85" s="53"/>
      <c r="J85" s="55"/>
      <c r="L85" s="56"/>
      <c r="M85" s="57"/>
      <c r="N85" s="57"/>
      <c r="O85" s="57"/>
    </row>
    <row r="88" spans="1:15">
      <c r="A88" s="27" t="s">
        <v>130</v>
      </c>
    </row>
    <row r="89" spans="1:15">
      <c r="A89" s="27" t="s">
        <v>182</v>
      </c>
    </row>
    <row r="90" spans="1:15">
      <c r="A90" s="27" t="s">
        <v>136</v>
      </c>
    </row>
    <row r="91" spans="1:15">
      <c r="A91" s="27" t="s">
        <v>179</v>
      </c>
    </row>
    <row r="93" spans="1:15">
      <c r="A93" s="27"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F8E6-FD01-9B43-83E6-C20615E9E5C0}">
  <dimension ref="A1:AF123"/>
  <sheetViews>
    <sheetView workbookViewId="0">
      <pane xSplit="2" ySplit="2" topLeftCell="W8" activePane="bottomRight" state="frozen"/>
      <selection pane="topRight" activeCell="C1" sqref="C1"/>
      <selection pane="bottomLeft" activeCell="A3" sqref="A3"/>
      <selection pane="bottomRight" activeCell="G98" sqref="G98"/>
    </sheetView>
  </sheetViews>
  <sheetFormatPr defaultColWidth="10.58203125" defaultRowHeight="15.5"/>
  <cols>
    <col min="1" max="5" width="10.58203125" style="27"/>
    <col min="6" max="6" width="10.83203125" style="28"/>
    <col min="7" max="9" width="10.58203125" style="27"/>
    <col min="10" max="11" width="10.83203125" style="28"/>
    <col min="12" max="21" width="10.58203125" style="27"/>
    <col min="22" max="22" width="10.83203125" style="38"/>
    <col min="23" max="30" width="10.58203125" style="27"/>
    <col min="31" max="31" width="16.5" style="40" customWidth="1"/>
    <col min="32" max="32" width="16.33203125" style="40" customWidth="1"/>
    <col min="33" max="16384" width="10.58203125" style="27"/>
  </cols>
  <sheetData>
    <row r="1" spans="1:27">
      <c r="A1" s="41" t="s">
        <v>85</v>
      </c>
      <c r="B1" s="41" t="s">
        <v>1</v>
      </c>
      <c r="C1" s="43"/>
      <c r="D1" s="43" t="s">
        <v>87</v>
      </c>
      <c r="E1" s="41" t="s">
        <v>91</v>
      </c>
      <c r="F1" s="43" t="s">
        <v>84</v>
      </c>
      <c r="G1" s="41" t="s">
        <v>91</v>
      </c>
      <c r="H1" s="27" t="s">
        <v>64</v>
      </c>
      <c r="I1" s="27" t="s">
        <v>65</v>
      </c>
      <c r="J1" s="43" t="s">
        <v>66</v>
      </c>
      <c r="K1" s="43" t="s">
        <v>67</v>
      </c>
      <c r="L1" s="41" t="s">
        <v>91</v>
      </c>
      <c r="M1" s="27" t="s">
        <v>68</v>
      </c>
      <c r="N1" s="27" t="s">
        <v>88</v>
      </c>
      <c r="O1" s="41" t="s">
        <v>91</v>
      </c>
      <c r="P1" s="27" t="s">
        <v>70</v>
      </c>
      <c r="Q1" s="27" t="s">
        <v>89</v>
      </c>
      <c r="R1" s="41" t="s">
        <v>91</v>
      </c>
      <c r="S1" s="41" t="s">
        <v>97</v>
      </c>
      <c r="T1" s="41" t="s">
        <v>99</v>
      </c>
      <c r="V1" s="38" t="s">
        <v>96</v>
      </c>
      <c r="Y1" s="48" t="s">
        <v>77</v>
      </c>
    </row>
    <row r="2" spans="1:27">
      <c r="C2" s="28"/>
      <c r="D2" s="28"/>
      <c r="E2" s="28">
        <v>65</v>
      </c>
      <c r="G2" s="28">
        <v>53</v>
      </c>
      <c r="H2" s="28"/>
      <c r="I2" s="28"/>
      <c r="J2" s="44"/>
      <c r="L2" s="28">
        <v>2190</v>
      </c>
      <c r="O2" s="27">
        <v>914</v>
      </c>
      <c r="R2" s="27">
        <v>943.58</v>
      </c>
      <c r="S2" s="58"/>
      <c r="T2" s="58"/>
      <c r="V2" s="38" t="s">
        <v>92</v>
      </c>
    </row>
    <row r="3" spans="1:27">
      <c r="A3" s="27" t="s">
        <v>86</v>
      </c>
      <c r="C3" s="28"/>
      <c r="D3" s="28"/>
      <c r="E3" s="28"/>
      <c r="G3" s="28"/>
      <c r="H3" s="28"/>
      <c r="I3" s="28"/>
      <c r="J3" s="44"/>
      <c r="L3" s="28"/>
      <c r="Y3" s="58" t="s">
        <v>95</v>
      </c>
    </row>
    <row r="4" spans="1:27">
      <c r="B4" s="27">
        <v>2014</v>
      </c>
      <c r="C4" s="28"/>
      <c r="D4" s="59">
        <v>5</v>
      </c>
      <c r="E4" s="29"/>
      <c r="F4" s="28">
        <v>5</v>
      </c>
      <c r="G4" s="28"/>
      <c r="H4" s="28">
        <v>1</v>
      </c>
      <c r="I4" s="28">
        <v>9</v>
      </c>
      <c r="J4" s="28">
        <v>7</v>
      </c>
      <c r="K4" s="60">
        <v>0</v>
      </c>
      <c r="M4" s="27">
        <v>8</v>
      </c>
      <c r="N4" s="27">
        <v>24</v>
      </c>
      <c r="P4" s="27">
        <v>21</v>
      </c>
      <c r="Q4" s="27">
        <v>21</v>
      </c>
      <c r="T4" s="28">
        <f t="shared" ref="T4:T9" si="0">D4+F4+H4+I4+J4+K4+M4+N4+P4+Q4</f>
        <v>101</v>
      </c>
      <c r="V4" s="38">
        <f t="shared" ref="V4:V9" si="1">((D4/100)*65)+((F4/100)*53)+((K4/100)*2190)+((N4/100)*914)+((Q4/100)*943.58)</f>
        <v>423.41179999999997</v>
      </c>
      <c r="Y4" s="28">
        <v>435</v>
      </c>
      <c r="AA4" s="28"/>
    </row>
    <row r="5" spans="1:27">
      <c r="B5" s="27">
        <v>2015</v>
      </c>
      <c r="C5" s="28"/>
      <c r="D5" s="59">
        <v>4</v>
      </c>
      <c r="E5" s="29"/>
      <c r="F5" s="28">
        <v>5</v>
      </c>
      <c r="G5" s="28"/>
      <c r="H5" s="28">
        <v>1</v>
      </c>
      <c r="I5" s="28">
        <v>11</v>
      </c>
      <c r="J5" s="28">
        <v>8</v>
      </c>
      <c r="K5" s="60">
        <v>0</v>
      </c>
      <c r="M5" s="60">
        <v>6</v>
      </c>
      <c r="N5" s="60">
        <v>25</v>
      </c>
      <c r="P5" s="60">
        <v>23</v>
      </c>
      <c r="Q5" s="60">
        <v>17</v>
      </c>
      <c r="T5" s="28">
        <f t="shared" si="0"/>
        <v>100</v>
      </c>
      <c r="V5" s="38">
        <f t="shared" si="1"/>
        <v>394.15859999999998</v>
      </c>
      <c r="Y5" s="28">
        <v>405</v>
      </c>
      <c r="AA5" s="28"/>
    </row>
    <row r="6" spans="1:27">
      <c r="B6" s="27">
        <v>2016</v>
      </c>
      <c r="C6" s="28"/>
      <c r="D6" s="59">
        <v>4</v>
      </c>
      <c r="E6" s="29"/>
      <c r="F6" s="28">
        <v>5</v>
      </c>
      <c r="G6" s="28"/>
      <c r="H6" s="28">
        <v>3</v>
      </c>
      <c r="I6" s="28">
        <v>13</v>
      </c>
      <c r="J6" s="28">
        <v>8</v>
      </c>
      <c r="K6" s="60">
        <v>0</v>
      </c>
      <c r="M6" s="60">
        <v>12</v>
      </c>
      <c r="N6" s="60">
        <v>17</v>
      </c>
      <c r="P6" s="60">
        <v>24</v>
      </c>
      <c r="Q6" s="60">
        <v>14</v>
      </c>
      <c r="T6" s="28">
        <f t="shared" si="0"/>
        <v>100</v>
      </c>
      <c r="V6" s="38">
        <f t="shared" si="1"/>
        <v>292.73120000000006</v>
      </c>
      <c r="Y6" s="28">
        <v>294</v>
      </c>
      <c r="AA6" s="28"/>
    </row>
    <row r="7" spans="1:27">
      <c r="B7" s="27">
        <v>2017</v>
      </c>
      <c r="C7" s="28"/>
      <c r="D7" s="59">
        <v>4</v>
      </c>
      <c r="E7" s="29"/>
      <c r="F7" s="28">
        <v>5</v>
      </c>
      <c r="G7" s="28"/>
      <c r="H7" s="28">
        <v>3</v>
      </c>
      <c r="I7" s="28">
        <v>13</v>
      </c>
      <c r="J7" s="28">
        <v>8</v>
      </c>
      <c r="K7" s="60">
        <v>0</v>
      </c>
      <c r="M7" s="60">
        <v>18</v>
      </c>
      <c r="N7" s="60">
        <v>20</v>
      </c>
      <c r="P7" s="60">
        <v>27</v>
      </c>
      <c r="Q7" s="60">
        <v>2</v>
      </c>
      <c r="T7" s="28">
        <f t="shared" si="0"/>
        <v>100</v>
      </c>
      <c r="V7" s="38">
        <f t="shared" si="1"/>
        <v>206.92160000000001</v>
      </c>
      <c r="Y7" s="28">
        <v>210</v>
      </c>
      <c r="AA7" s="28"/>
    </row>
    <row r="8" spans="1:27">
      <c r="B8" s="27">
        <v>2018</v>
      </c>
      <c r="C8" s="61"/>
      <c r="D8" s="59">
        <v>4</v>
      </c>
      <c r="E8" s="29"/>
      <c r="F8" s="28">
        <v>4</v>
      </c>
      <c r="G8" s="28"/>
      <c r="H8" s="28">
        <v>3</v>
      </c>
      <c r="I8" s="28">
        <v>18</v>
      </c>
      <c r="J8" s="28">
        <v>10</v>
      </c>
      <c r="K8" s="60">
        <v>0</v>
      </c>
      <c r="M8" s="60">
        <v>13</v>
      </c>
      <c r="N8" s="60">
        <v>15</v>
      </c>
      <c r="P8" s="60">
        <v>34</v>
      </c>
      <c r="Q8" s="60">
        <v>0</v>
      </c>
      <c r="T8" s="28">
        <f t="shared" si="0"/>
        <v>101</v>
      </c>
      <c r="V8" s="38">
        <f t="shared" si="1"/>
        <v>141.82</v>
      </c>
      <c r="Y8" s="28">
        <v>206</v>
      </c>
      <c r="AA8" s="28"/>
    </row>
    <row r="9" spans="1:27">
      <c r="B9" s="27">
        <v>2019</v>
      </c>
      <c r="C9" s="61"/>
      <c r="D9" s="59">
        <v>3.2</v>
      </c>
      <c r="E9" s="29"/>
      <c r="F9" s="28">
        <v>1.5</v>
      </c>
      <c r="G9" s="28"/>
      <c r="H9" s="28">
        <v>2.2999999999999998</v>
      </c>
      <c r="I9" s="28">
        <v>12.3</v>
      </c>
      <c r="J9" s="28">
        <v>9.4</v>
      </c>
      <c r="K9" s="60">
        <v>0</v>
      </c>
      <c r="M9" s="60">
        <v>27.2</v>
      </c>
      <c r="N9" s="62">
        <v>0</v>
      </c>
      <c r="P9" s="60">
        <v>44.3</v>
      </c>
      <c r="T9" s="28">
        <f t="shared" si="0"/>
        <v>100.2</v>
      </c>
      <c r="V9" s="66">
        <f t="shared" si="1"/>
        <v>2.875</v>
      </c>
      <c r="W9" s="27" t="s">
        <v>186</v>
      </c>
      <c r="Y9" s="67">
        <v>2.68</v>
      </c>
      <c r="Z9" s="27" t="s">
        <v>186</v>
      </c>
    </row>
    <row r="10" spans="1:27">
      <c r="A10" s="27" t="s">
        <v>104</v>
      </c>
      <c r="C10" s="28"/>
      <c r="D10" s="59"/>
      <c r="E10" s="29"/>
      <c r="G10" s="28"/>
      <c r="H10" s="28"/>
      <c r="I10" s="28"/>
      <c r="Y10" s="58" t="s">
        <v>94</v>
      </c>
    </row>
    <row r="11" spans="1:27">
      <c r="B11" s="27">
        <v>2014</v>
      </c>
      <c r="C11" s="28"/>
      <c r="D11" s="59">
        <v>5</v>
      </c>
      <c r="E11" s="29"/>
      <c r="F11" s="28">
        <v>4</v>
      </c>
      <c r="G11" s="28"/>
      <c r="H11" s="28">
        <v>0</v>
      </c>
      <c r="I11" s="28">
        <v>1</v>
      </c>
      <c r="J11" s="28">
        <v>46</v>
      </c>
      <c r="K11" s="60">
        <v>0</v>
      </c>
      <c r="M11" s="60">
        <v>9</v>
      </c>
      <c r="N11" s="60">
        <v>0</v>
      </c>
      <c r="P11" s="60">
        <v>0</v>
      </c>
      <c r="Q11" s="60">
        <v>35</v>
      </c>
      <c r="T11" s="28">
        <f>D11+F11+H11+I11+J11+K11+M11+N11+P11+Q11</f>
        <v>100</v>
      </c>
      <c r="V11" s="38">
        <f t="shared" ref="V11:V17" si="2">((D11/100)*65)+((F11/100)*53)+((K11/100)*2190)+((N11/100)*914)+((Q11/100)*943.58)</f>
        <v>335.62299999999999</v>
      </c>
      <c r="Y11" s="28">
        <v>324</v>
      </c>
    </row>
    <row r="12" spans="1:27">
      <c r="B12" s="27">
        <v>2015</v>
      </c>
      <c r="C12" s="28"/>
      <c r="D12" s="59">
        <v>5</v>
      </c>
      <c r="E12" s="29"/>
      <c r="F12" s="28">
        <v>2</v>
      </c>
      <c r="G12" s="28"/>
      <c r="H12" s="28">
        <v>4</v>
      </c>
      <c r="I12" s="28">
        <v>5</v>
      </c>
      <c r="J12" s="28">
        <v>36</v>
      </c>
      <c r="K12" s="60">
        <v>0</v>
      </c>
      <c r="M12" s="60">
        <v>12</v>
      </c>
      <c r="N12" s="60">
        <v>12</v>
      </c>
      <c r="P12" s="60">
        <v>0</v>
      </c>
      <c r="Q12" s="60">
        <v>25</v>
      </c>
      <c r="T12" s="28">
        <f>D12+F12+H12+I12+J12+K12+M12+N12+P12+Q12</f>
        <v>101</v>
      </c>
      <c r="V12" s="38">
        <f t="shared" si="2"/>
        <v>349.88499999999999</v>
      </c>
      <c r="Y12" s="28">
        <v>323</v>
      </c>
    </row>
    <row r="13" spans="1:27">
      <c r="B13" s="27">
        <v>2016</v>
      </c>
      <c r="C13" s="28"/>
      <c r="D13" s="59">
        <v>5</v>
      </c>
      <c r="E13" s="29"/>
      <c r="F13" s="28">
        <v>0</v>
      </c>
      <c r="G13" s="28"/>
      <c r="H13" s="28">
        <v>7</v>
      </c>
      <c r="I13" s="28">
        <v>9</v>
      </c>
      <c r="J13" s="28">
        <v>34</v>
      </c>
      <c r="K13" s="60">
        <v>0</v>
      </c>
      <c r="M13" s="60">
        <v>13</v>
      </c>
      <c r="N13" s="60">
        <v>12</v>
      </c>
      <c r="P13" s="60">
        <v>0</v>
      </c>
      <c r="Q13" s="60">
        <v>19</v>
      </c>
      <c r="T13" s="28">
        <f>D13+F13+H13+I13+J13+K13+M13+N13+P13+Q13</f>
        <v>99</v>
      </c>
      <c r="V13" s="38">
        <f t="shared" si="2"/>
        <v>292.21019999999999</v>
      </c>
      <c r="Y13" s="28">
        <v>279</v>
      </c>
    </row>
    <row r="14" spans="1:27">
      <c r="B14" s="27">
        <v>2017</v>
      </c>
      <c r="C14" s="28"/>
      <c r="D14" s="59">
        <v>6</v>
      </c>
      <c r="E14" s="29"/>
      <c r="F14" s="28">
        <v>10</v>
      </c>
      <c r="G14" s="28"/>
      <c r="H14" s="28">
        <v>9</v>
      </c>
      <c r="I14" s="28">
        <v>9</v>
      </c>
      <c r="J14" s="28">
        <v>27</v>
      </c>
      <c r="K14" s="60">
        <v>0</v>
      </c>
      <c r="M14" s="60">
        <v>26</v>
      </c>
      <c r="N14" s="60">
        <v>5</v>
      </c>
      <c r="P14" s="60">
        <v>0</v>
      </c>
      <c r="Q14" s="60">
        <v>6</v>
      </c>
      <c r="T14" s="28">
        <f>D14+F14+H14+I14+J14+K14+M14+N14+P14+Q14</f>
        <v>98</v>
      </c>
      <c r="V14" s="38">
        <f t="shared" si="2"/>
        <v>111.51480000000001</v>
      </c>
      <c r="Y14" s="28">
        <v>109</v>
      </c>
    </row>
    <row r="15" spans="1:27">
      <c r="B15" s="27">
        <v>2018</v>
      </c>
      <c r="C15" s="61"/>
      <c r="D15" s="59">
        <v>4</v>
      </c>
      <c r="E15" s="29"/>
      <c r="F15" s="28">
        <v>3</v>
      </c>
      <c r="G15" s="28"/>
      <c r="H15" s="28">
        <v>2</v>
      </c>
      <c r="I15" s="28">
        <v>11</v>
      </c>
      <c r="J15" s="28">
        <v>39</v>
      </c>
      <c r="K15" s="60">
        <v>0</v>
      </c>
      <c r="M15" s="60">
        <v>13</v>
      </c>
      <c r="N15" s="60">
        <v>0</v>
      </c>
      <c r="P15" s="60">
        <v>0</v>
      </c>
      <c r="Q15" s="60">
        <v>13</v>
      </c>
      <c r="S15" s="60">
        <v>13</v>
      </c>
      <c r="T15" s="28">
        <f>D15+F15+H15+I15+J15+K15+M15+N15+P15+Q15+S15</f>
        <v>98</v>
      </c>
      <c r="V15" s="38">
        <f t="shared" si="2"/>
        <v>126.8554</v>
      </c>
      <c r="Y15" s="28">
        <v>122</v>
      </c>
    </row>
    <row r="16" spans="1:27">
      <c r="B16" s="27">
        <v>2019</v>
      </c>
      <c r="C16" s="61" t="s">
        <v>149</v>
      </c>
      <c r="D16" s="59"/>
      <c r="E16" s="29"/>
      <c r="G16" s="28"/>
      <c r="H16" s="28">
        <v>50</v>
      </c>
      <c r="I16" s="28">
        <v>50</v>
      </c>
      <c r="K16" s="60"/>
      <c r="T16" s="28">
        <f t="shared" ref="T16:T17" si="3">D16+F16+H16+I16+J16+K16+M16+N16+P16+Q16+S16</f>
        <v>100</v>
      </c>
      <c r="V16" s="38">
        <f t="shared" si="2"/>
        <v>0</v>
      </c>
    </row>
    <row r="17" spans="1:25">
      <c r="B17" s="27">
        <v>2019</v>
      </c>
      <c r="C17" s="61" t="s">
        <v>150</v>
      </c>
      <c r="D17" s="59">
        <v>1.6</v>
      </c>
      <c r="E17" s="29"/>
      <c r="F17" s="28">
        <v>3.3</v>
      </c>
      <c r="G17" s="28"/>
      <c r="H17" s="28">
        <v>6.1</v>
      </c>
      <c r="I17" s="28">
        <v>20</v>
      </c>
      <c r="J17" s="28">
        <v>29</v>
      </c>
      <c r="K17" s="60"/>
      <c r="M17" s="60">
        <v>29.3</v>
      </c>
      <c r="Q17" s="60">
        <v>9.6999999999999993</v>
      </c>
      <c r="T17" s="28">
        <f t="shared" si="3"/>
        <v>99</v>
      </c>
      <c r="V17" s="38">
        <f t="shared" si="2"/>
        <v>94.31626</v>
      </c>
    </row>
    <row r="18" spans="1:25">
      <c r="B18" s="27">
        <v>2019</v>
      </c>
      <c r="C18" s="61" t="s">
        <v>119</v>
      </c>
      <c r="D18" s="59"/>
      <c r="E18" s="29"/>
      <c r="G18" s="28"/>
      <c r="H18" s="28"/>
      <c r="I18" s="28"/>
      <c r="K18" s="60"/>
      <c r="M18" s="60"/>
      <c r="Q18" s="60"/>
      <c r="T18" s="28"/>
      <c r="V18" s="38">
        <f>(0.036*0)+(0.964*V17)</f>
        <v>90.920874639999994</v>
      </c>
    </row>
    <row r="19" spans="1:25">
      <c r="A19" s="27" t="s">
        <v>105</v>
      </c>
      <c r="C19" s="28"/>
      <c r="D19" s="59"/>
      <c r="E19" s="29"/>
      <c r="G19" s="28"/>
      <c r="H19" s="28"/>
      <c r="I19" s="28"/>
      <c r="Y19" s="58" t="s">
        <v>98</v>
      </c>
    </row>
    <row r="20" spans="1:25">
      <c r="B20" s="50">
        <v>2015</v>
      </c>
      <c r="C20" s="59"/>
      <c r="D20" s="59">
        <v>0</v>
      </c>
      <c r="E20" s="29"/>
      <c r="F20" s="28">
        <v>9</v>
      </c>
      <c r="G20" s="28"/>
      <c r="H20" s="28">
        <v>0</v>
      </c>
      <c r="I20" s="28">
        <v>0</v>
      </c>
      <c r="J20" s="28">
        <v>28</v>
      </c>
      <c r="K20" s="60">
        <v>0</v>
      </c>
      <c r="M20" s="60">
        <v>41</v>
      </c>
      <c r="N20" s="60">
        <v>0</v>
      </c>
      <c r="P20" s="60">
        <v>0</v>
      </c>
      <c r="Q20" s="60">
        <v>23</v>
      </c>
      <c r="T20" s="28">
        <f>D20+F20+H20+I20+J20+K20+M20+N20+P20+Q20</f>
        <v>101</v>
      </c>
      <c r="V20" s="38">
        <f>((D20/100)*65)+((F20/100)*53)+((K20/100)*2190)+((N20/100)*914)+((Q20/100)*943.58)</f>
        <v>221.79340000000002</v>
      </c>
      <c r="Y20" s="28">
        <v>218</v>
      </c>
    </row>
    <row r="21" spans="1:25">
      <c r="B21" s="50">
        <v>2016</v>
      </c>
      <c r="C21" s="59"/>
      <c r="D21" s="59">
        <v>0</v>
      </c>
      <c r="E21" s="29"/>
      <c r="F21" s="28">
        <v>8</v>
      </c>
      <c r="G21" s="28"/>
      <c r="H21" s="28">
        <v>2</v>
      </c>
      <c r="I21" s="28">
        <v>0</v>
      </c>
      <c r="J21" s="28">
        <v>31</v>
      </c>
      <c r="K21" s="60">
        <v>0</v>
      </c>
      <c r="M21" s="60">
        <v>49</v>
      </c>
      <c r="N21" s="60">
        <v>0</v>
      </c>
      <c r="P21" s="60">
        <v>0</v>
      </c>
      <c r="Q21" s="60">
        <v>10</v>
      </c>
      <c r="T21" s="28">
        <f>D21+F21+H21+I21+J21+K21+M21+N21+P21+Q21</f>
        <v>100</v>
      </c>
      <c r="V21" s="38">
        <f>((D21/100)*65)+((F21/100)*53)+((K21/100)*2190)+((N21/100)*914)+((Q21/100)*943.58)</f>
        <v>98.597999999999999</v>
      </c>
      <c r="Y21" s="28">
        <v>97.6</v>
      </c>
    </row>
    <row r="22" spans="1:25">
      <c r="B22" s="50">
        <v>2017</v>
      </c>
      <c r="C22" s="59"/>
      <c r="D22" s="59">
        <v>0</v>
      </c>
      <c r="E22" s="29"/>
      <c r="F22" s="28">
        <v>11</v>
      </c>
      <c r="G22" s="28"/>
      <c r="H22" s="28">
        <v>0</v>
      </c>
      <c r="I22" s="28">
        <v>11</v>
      </c>
      <c r="J22" s="28">
        <v>23</v>
      </c>
      <c r="K22" s="60">
        <v>0</v>
      </c>
      <c r="M22" s="60">
        <v>42</v>
      </c>
      <c r="N22" s="60">
        <v>0</v>
      </c>
      <c r="P22" s="60">
        <v>0</v>
      </c>
      <c r="Q22" s="60">
        <v>13</v>
      </c>
      <c r="T22" s="28">
        <f>D22+F22+H22+I22+J22+K22+M22+N22+P22+Q22</f>
        <v>100</v>
      </c>
      <c r="V22" s="38">
        <f>((D22/100)*65)+((F22/100)*53)+((K22/100)*2190)+((N22/100)*914)+((Q22/100)*943.58)</f>
        <v>128.49540000000002</v>
      </c>
      <c r="Y22" s="28">
        <v>128</v>
      </c>
    </row>
    <row r="23" spans="1:25">
      <c r="B23" s="27">
        <v>2018</v>
      </c>
      <c r="C23" s="61"/>
      <c r="D23" s="59">
        <v>1</v>
      </c>
      <c r="E23" s="29"/>
      <c r="F23" s="28">
        <v>18</v>
      </c>
      <c r="G23" s="28"/>
      <c r="H23" s="28">
        <v>0</v>
      </c>
      <c r="I23" s="28">
        <v>8</v>
      </c>
      <c r="J23" s="28">
        <v>23</v>
      </c>
      <c r="K23" s="60">
        <v>0</v>
      </c>
      <c r="M23" s="60">
        <v>42</v>
      </c>
      <c r="N23" s="60">
        <v>0</v>
      </c>
      <c r="P23" s="60">
        <v>0</v>
      </c>
      <c r="Q23" s="60">
        <v>9</v>
      </c>
      <c r="T23" s="28">
        <f>D23+F23+H23+I23+J23+K23+M23+N23+P23+Q23</f>
        <v>101</v>
      </c>
      <c r="V23" s="38">
        <f>((D23/100)*65)+((F23/100)*53)+((K23/100)*2190)+((N23/100)*914)+((Q23/100)*943.58)</f>
        <v>95.112200000000001</v>
      </c>
      <c r="Y23" s="28">
        <v>98.8</v>
      </c>
    </row>
    <row r="24" spans="1:25">
      <c r="B24" s="50">
        <v>2019</v>
      </c>
      <c r="C24" s="61"/>
      <c r="D24" s="59">
        <v>0</v>
      </c>
      <c r="E24" s="29"/>
      <c r="F24" s="28">
        <v>17.5</v>
      </c>
      <c r="G24" s="28"/>
      <c r="H24" s="28">
        <v>0</v>
      </c>
      <c r="I24" s="28">
        <v>7.7</v>
      </c>
      <c r="J24" s="28">
        <v>25.1</v>
      </c>
      <c r="K24" s="60">
        <v>0</v>
      </c>
      <c r="M24" s="60">
        <v>46.2</v>
      </c>
      <c r="N24" s="60">
        <v>0</v>
      </c>
      <c r="P24" s="60">
        <v>0.3</v>
      </c>
      <c r="Q24" s="60">
        <v>3.2</v>
      </c>
      <c r="T24" s="28">
        <f>D24+F24+H24+I24+J24+K24+M24+N24+P24+Q24</f>
        <v>100</v>
      </c>
      <c r="V24" s="38">
        <f>((D24/100)*65)+((F24/100)*53)+((K24/100)*2190)+((N24/100)*914)+((Q24/100)*943.58)</f>
        <v>39.469560000000001</v>
      </c>
    </row>
    <row r="25" spans="1:25">
      <c r="A25" s="27" t="s">
        <v>103</v>
      </c>
      <c r="C25" s="28"/>
      <c r="D25" s="59"/>
      <c r="E25" s="29"/>
      <c r="G25" s="28"/>
      <c r="H25" s="28"/>
      <c r="I25" s="28"/>
      <c r="Y25" s="58" t="s">
        <v>100</v>
      </c>
    </row>
    <row r="26" spans="1:25">
      <c r="B26" s="50">
        <v>2016</v>
      </c>
      <c r="C26" s="59"/>
      <c r="D26" s="59"/>
      <c r="E26" s="29"/>
      <c r="G26" s="28"/>
      <c r="H26" s="28"/>
      <c r="I26" s="28"/>
      <c r="J26" s="28">
        <v>40</v>
      </c>
      <c r="K26" s="60"/>
      <c r="M26" s="60">
        <v>38</v>
      </c>
      <c r="N26" s="60">
        <v>22</v>
      </c>
      <c r="T26" s="28">
        <f>D26+F26+H26+I26+J26+K26+M26+N26+P26+Q26</f>
        <v>100</v>
      </c>
      <c r="V26" s="38">
        <f>((D26/100)*65)+((F26/100)*53)+((K26/100)*2190)+((N26/100)*914)+((Q26/100)*943.58)</f>
        <v>201.08</v>
      </c>
      <c r="Y26" s="28">
        <v>187</v>
      </c>
    </row>
    <row r="27" spans="1:25">
      <c r="B27" s="50">
        <v>2017</v>
      </c>
      <c r="C27" s="59"/>
      <c r="D27" s="59"/>
      <c r="E27" s="29"/>
      <c r="G27" s="28"/>
      <c r="H27" s="28"/>
      <c r="I27" s="28">
        <v>3</v>
      </c>
      <c r="J27" s="28">
        <v>40</v>
      </c>
      <c r="K27" s="60"/>
      <c r="M27" s="60">
        <v>57</v>
      </c>
      <c r="T27" s="28">
        <f>D27+F27+H27+I27+J27+K27+M27+N27+P27+Q27</f>
        <v>100</v>
      </c>
      <c r="V27" s="38">
        <f>((D27/100)*65)+((F27/100)*53)+((K27/100)*2190)+((N27/100)*914)+((Q27/100)*943.58)</f>
        <v>0</v>
      </c>
      <c r="Y27" s="28">
        <v>0</v>
      </c>
    </row>
    <row r="28" spans="1:25">
      <c r="B28" s="27">
        <v>2018</v>
      </c>
      <c r="C28" s="61"/>
      <c r="D28" s="59">
        <v>1</v>
      </c>
      <c r="E28" s="29"/>
      <c r="F28" s="28">
        <v>10</v>
      </c>
      <c r="G28" s="28"/>
      <c r="H28" s="28">
        <v>0</v>
      </c>
      <c r="I28" s="28">
        <v>1</v>
      </c>
      <c r="J28" s="28">
        <v>36</v>
      </c>
      <c r="K28" s="60">
        <v>0</v>
      </c>
      <c r="M28" s="60">
        <v>40</v>
      </c>
      <c r="N28" s="60">
        <v>0</v>
      </c>
      <c r="Q28" s="27">
        <v>11</v>
      </c>
      <c r="T28" s="28">
        <f>D28+F28+H28+I28+J28+K28+M28+N28+P28+Q28</f>
        <v>99</v>
      </c>
      <c r="V28" s="38">
        <f>((D28/100)*65)+((F28/100)*53)+((K28/100)*2190)+((N28/100)*914)+((Q28/100)*943.58)</f>
        <v>109.74380000000001</v>
      </c>
      <c r="Y28" s="28">
        <v>113</v>
      </c>
    </row>
    <row r="29" spans="1:25">
      <c r="B29" s="50">
        <v>2019</v>
      </c>
      <c r="C29" s="61" t="s">
        <v>151</v>
      </c>
      <c r="D29" s="59">
        <v>0</v>
      </c>
      <c r="E29" s="29"/>
      <c r="F29" s="28">
        <v>0</v>
      </c>
      <c r="G29" s="28"/>
      <c r="H29" s="28">
        <v>0</v>
      </c>
      <c r="I29" s="28">
        <v>50.6</v>
      </c>
      <c r="J29" s="28">
        <v>49.4</v>
      </c>
      <c r="K29" s="60">
        <v>0</v>
      </c>
      <c r="M29" s="60">
        <v>0</v>
      </c>
      <c r="N29" s="60">
        <v>0</v>
      </c>
      <c r="P29" s="60">
        <v>0</v>
      </c>
      <c r="Q29" s="60">
        <v>0</v>
      </c>
      <c r="T29" s="28">
        <f t="shared" ref="T29:T30" si="4">D29+F29+H29+I29+J29+K29+M29+N29+P29+Q29</f>
        <v>100</v>
      </c>
      <c r="V29" s="38">
        <f t="shared" ref="V29:V30" si="5">((D29/100)*65)+((F29/100)*53)+((K29/100)*2190)+((N29/100)*914)+((Q29/100)*943.58)</f>
        <v>0</v>
      </c>
      <c r="Y29" s="28"/>
    </row>
    <row r="30" spans="1:25">
      <c r="B30" s="50">
        <v>2019</v>
      </c>
      <c r="C30" s="61" t="s">
        <v>152</v>
      </c>
      <c r="D30" s="59">
        <v>0.2</v>
      </c>
      <c r="E30" s="29"/>
      <c r="F30" s="28">
        <v>12</v>
      </c>
      <c r="G30" s="28"/>
      <c r="H30" s="28">
        <v>0</v>
      </c>
      <c r="I30" s="28">
        <v>4.9000000000000004</v>
      </c>
      <c r="J30" s="28">
        <v>30.9</v>
      </c>
      <c r="K30" s="60">
        <v>0</v>
      </c>
      <c r="M30" s="60">
        <v>47.5</v>
      </c>
      <c r="N30" s="60">
        <v>2.4</v>
      </c>
      <c r="P30" s="60">
        <v>0.1</v>
      </c>
      <c r="Q30" s="60">
        <v>2</v>
      </c>
      <c r="T30" s="28">
        <f t="shared" si="4"/>
        <v>100</v>
      </c>
      <c r="V30" s="38">
        <f t="shared" si="5"/>
        <v>47.297600000000003</v>
      </c>
    </row>
    <row r="31" spans="1:25">
      <c r="B31" s="50">
        <v>2019</v>
      </c>
      <c r="C31" s="61" t="s">
        <v>119</v>
      </c>
      <c r="D31" s="59"/>
      <c r="E31" s="29"/>
      <c r="G31" s="28"/>
      <c r="H31" s="28"/>
      <c r="I31" s="28"/>
      <c r="K31" s="60"/>
      <c r="M31" s="60"/>
      <c r="N31" s="60"/>
      <c r="P31" s="60"/>
      <c r="Q31" s="60"/>
      <c r="T31" s="28"/>
      <c r="V31" s="38">
        <f>(0.048*V29)+(0.952*V30)</f>
        <v>45.027315200000004</v>
      </c>
    </row>
    <row r="32" spans="1:25">
      <c r="A32" s="27" t="s">
        <v>102</v>
      </c>
      <c r="C32" s="28"/>
      <c r="D32" s="59"/>
      <c r="E32" s="29"/>
      <c r="G32" s="28"/>
      <c r="H32" s="28"/>
      <c r="I32" s="28"/>
      <c r="Y32" s="27" t="s">
        <v>107</v>
      </c>
    </row>
    <row r="33" spans="1:25">
      <c r="B33" s="50">
        <v>2016</v>
      </c>
      <c r="C33" s="59"/>
      <c r="D33" s="59"/>
      <c r="E33" s="29"/>
      <c r="G33" s="28"/>
      <c r="H33" s="28">
        <v>18</v>
      </c>
      <c r="I33" s="28"/>
      <c r="J33" s="28">
        <v>40</v>
      </c>
      <c r="K33" s="60"/>
      <c r="M33" s="60">
        <v>27</v>
      </c>
      <c r="Q33" s="27">
        <v>15</v>
      </c>
      <c r="T33" s="28">
        <f>D33+F33+H33+I33+J33+K33+M33+N33+P33+Q33</f>
        <v>100</v>
      </c>
      <c r="V33" s="38">
        <f>((D33/100)*65)+((F33/100)*53)+((K33/100)*2190)+((N33/100)*914)+((Q33/100)*943.58)</f>
        <v>141.53700000000001</v>
      </c>
      <c r="Y33" s="28">
        <v>142</v>
      </c>
    </row>
    <row r="34" spans="1:25">
      <c r="B34" s="50">
        <v>2017</v>
      </c>
      <c r="C34" s="59"/>
      <c r="D34" s="59">
        <v>7</v>
      </c>
      <c r="E34" s="29"/>
      <c r="F34" s="28">
        <v>6</v>
      </c>
      <c r="G34" s="28"/>
      <c r="H34" s="28">
        <v>9</v>
      </c>
      <c r="I34" s="28">
        <v>7</v>
      </c>
      <c r="J34" s="28">
        <v>24</v>
      </c>
      <c r="K34" s="60">
        <v>0</v>
      </c>
      <c r="M34" s="60">
        <v>33</v>
      </c>
      <c r="Q34" s="27">
        <v>15</v>
      </c>
      <c r="T34" s="28">
        <f>D34+F34+H34+I34+J34+K34+M34+N34+P34+Q34</f>
        <v>101</v>
      </c>
      <c r="V34" s="38">
        <f>((D34/100)*65)+((F34/100)*53)+((K34/100)*2190)+((N34/100)*914)+((Q34/100)*943.58)</f>
        <v>149.267</v>
      </c>
      <c r="Y34" s="28">
        <v>137.9</v>
      </c>
    </row>
    <row r="35" spans="1:25">
      <c r="B35" s="27">
        <v>2018</v>
      </c>
      <c r="C35" s="61"/>
      <c r="D35" s="59">
        <v>5</v>
      </c>
      <c r="E35" s="29"/>
      <c r="F35" s="28">
        <v>2</v>
      </c>
      <c r="G35" s="28"/>
      <c r="H35" s="28">
        <v>5</v>
      </c>
      <c r="I35" s="28">
        <v>7</v>
      </c>
      <c r="J35" s="28">
        <v>33</v>
      </c>
      <c r="K35" s="60">
        <v>0</v>
      </c>
      <c r="M35" s="60">
        <v>35</v>
      </c>
      <c r="Q35" s="27">
        <v>14</v>
      </c>
      <c r="T35" s="28">
        <f>D35+F35+H35+I35+J35+K35+M35+N35+P35+Q35</f>
        <v>101</v>
      </c>
      <c r="V35" s="38">
        <f>((D35/100)*65)+((F35/100)*53)+((K35/100)*2190)+((N35/100)*914)+((Q35/100)*943.58)</f>
        <v>136.41120000000001</v>
      </c>
      <c r="Y35" s="28">
        <v>131.4</v>
      </c>
    </row>
    <row r="36" spans="1:25">
      <c r="B36" s="50">
        <v>2019</v>
      </c>
      <c r="C36" s="61" t="s">
        <v>153</v>
      </c>
      <c r="D36" s="59">
        <v>0</v>
      </c>
      <c r="E36" s="29"/>
      <c r="F36" s="28">
        <v>0</v>
      </c>
      <c r="G36" s="28"/>
      <c r="H36" s="28">
        <v>0</v>
      </c>
      <c r="I36" s="28">
        <v>50</v>
      </c>
      <c r="J36" s="28">
        <v>50</v>
      </c>
      <c r="K36" s="60">
        <v>0</v>
      </c>
      <c r="M36" s="60">
        <v>0</v>
      </c>
      <c r="N36" s="60">
        <v>0</v>
      </c>
      <c r="Q36" s="27">
        <v>0</v>
      </c>
      <c r="T36" s="28">
        <f>D36+F36+H36+I36+J36+K36+M36+N36+P36+Q36</f>
        <v>100</v>
      </c>
      <c r="V36" s="38">
        <f>((D36/100)*65)+((F36/100)*53)+((K36/100)*2190)+((N36/100)*914)+((Q36/100)*943.58)</f>
        <v>0</v>
      </c>
    </row>
    <row r="37" spans="1:25">
      <c r="B37" s="50">
        <v>2019</v>
      </c>
      <c r="C37" s="61" t="s">
        <v>154</v>
      </c>
      <c r="D37" s="59">
        <v>8</v>
      </c>
      <c r="E37" s="29"/>
      <c r="F37" s="28">
        <v>9.1999999999999993</v>
      </c>
      <c r="G37" s="28"/>
      <c r="H37" s="28">
        <v>5.3</v>
      </c>
      <c r="I37" s="28">
        <v>11.9</v>
      </c>
      <c r="J37" s="28">
        <v>17.8</v>
      </c>
      <c r="K37" s="60">
        <v>0</v>
      </c>
      <c r="M37" s="60">
        <v>36.9</v>
      </c>
      <c r="N37" s="60">
        <v>0</v>
      </c>
      <c r="P37" s="27">
        <v>0.8</v>
      </c>
      <c r="Q37" s="27">
        <v>10.1</v>
      </c>
      <c r="T37" s="28">
        <f>D37+F37+H37+I37+J37+K37+M37+N37+P37+Q37</f>
        <v>99.999999999999986</v>
      </c>
      <c r="V37" s="38">
        <f>((D37/100)*65)+((F37/100)*53)+((K37/100)*2190)+((N37/100)*914)+((P37/100)*943.58)</f>
        <v>17.624639999999999</v>
      </c>
    </row>
    <row r="38" spans="1:25">
      <c r="B38" s="63">
        <v>2019</v>
      </c>
      <c r="C38" s="61" t="s">
        <v>119</v>
      </c>
      <c r="D38" s="59"/>
      <c r="E38" s="29"/>
      <c r="G38" s="28"/>
      <c r="H38" s="28"/>
      <c r="I38" s="28"/>
      <c r="K38" s="60"/>
      <c r="M38" s="60"/>
      <c r="N38" s="60"/>
      <c r="T38" s="28"/>
      <c r="V38" s="38">
        <f>(0.072*V36)+(0.928*V37)</f>
        <v>16.35566592</v>
      </c>
    </row>
    <row r="39" spans="1:25">
      <c r="A39" s="27" t="s">
        <v>101</v>
      </c>
      <c r="C39" s="28"/>
      <c r="D39" s="59"/>
      <c r="E39" s="29"/>
      <c r="G39" s="28"/>
      <c r="H39" s="28"/>
      <c r="I39" s="28"/>
      <c r="Y39" s="27" t="s">
        <v>107</v>
      </c>
    </row>
    <row r="40" spans="1:25">
      <c r="B40" s="50">
        <v>2017</v>
      </c>
      <c r="C40" s="59"/>
      <c r="D40" s="59">
        <v>6</v>
      </c>
      <c r="E40" s="29"/>
      <c r="F40" s="28">
        <v>1</v>
      </c>
      <c r="G40" s="28"/>
      <c r="H40" s="28">
        <v>2</v>
      </c>
      <c r="I40" s="28">
        <v>10</v>
      </c>
      <c r="J40" s="28">
        <v>36</v>
      </c>
      <c r="K40" s="60"/>
      <c r="M40" s="60">
        <v>45</v>
      </c>
      <c r="N40" s="60"/>
      <c r="T40" s="28">
        <f>D40+F40+H40+I40+J40+K40+M40+N40+P40+Q40</f>
        <v>100</v>
      </c>
      <c r="V40" s="38">
        <f>((D40/100)*65)+((F40/100)*53)+((K40/100)*2190)+((N40/100)*914)+((Q40/100)*943.58)</f>
        <v>4.43</v>
      </c>
      <c r="Y40" s="28">
        <v>4</v>
      </c>
    </row>
    <row r="41" spans="1:25">
      <c r="B41" s="27">
        <v>2018</v>
      </c>
      <c r="C41" s="61"/>
      <c r="D41" s="59">
        <v>1</v>
      </c>
      <c r="E41" s="29"/>
      <c r="F41" s="28">
        <v>8</v>
      </c>
      <c r="G41" s="28"/>
      <c r="H41" s="28">
        <v>3</v>
      </c>
      <c r="I41" s="28">
        <v>12</v>
      </c>
      <c r="J41" s="28">
        <v>31</v>
      </c>
      <c r="K41" s="60"/>
      <c r="M41" s="60">
        <v>46</v>
      </c>
      <c r="T41" s="28">
        <f>D41+F41+H41+I41+J41+K41+M41+N41+P41+Q41</f>
        <v>101</v>
      </c>
      <c r="V41" s="38">
        <f>((D41/100)*65)+((F41/100)*53)+((K41/100)*2190)+((N41/100)*914)+((Q41/100)*943.58)</f>
        <v>4.8900000000000006</v>
      </c>
      <c r="Y41" s="28">
        <v>5</v>
      </c>
    </row>
    <row r="42" spans="1:25">
      <c r="B42" s="50">
        <v>2019</v>
      </c>
      <c r="C42" s="61" t="s">
        <v>155</v>
      </c>
      <c r="D42" s="59">
        <v>0</v>
      </c>
      <c r="E42" s="29"/>
      <c r="F42" s="28">
        <v>0</v>
      </c>
      <c r="G42" s="28"/>
      <c r="H42" s="28">
        <v>0</v>
      </c>
      <c r="I42" s="28">
        <v>25.1</v>
      </c>
      <c r="J42" s="28">
        <v>74.900000000000006</v>
      </c>
      <c r="K42" s="60">
        <v>0</v>
      </c>
      <c r="M42" s="60">
        <v>0</v>
      </c>
      <c r="N42" s="60">
        <v>0</v>
      </c>
      <c r="P42" s="60">
        <v>0</v>
      </c>
      <c r="Q42" s="60">
        <v>0</v>
      </c>
      <c r="T42" s="28">
        <f t="shared" ref="T42:T43" si="6">D42+F42+H42+I42+J42+K42+M42+N42+P42+Q42</f>
        <v>100</v>
      </c>
      <c r="V42" s="38">
        <f>((D42/100)*65)+((F42/100)*53)+((K42/100)*2190)+((N42/100)*914)+((Q42/100)*943.58)</f>
        <v>0</v>
      </c>
    </row>
    <row r="43" spans="1:25">
      <c r="B43" s="50">
        <v>2019</v>
      </c>
      <c r="C43" s="61" t="s">
        <v>156</v>
      </c>
      <c r="D43" s="59">
        <v>1</v>
      </c>
      <c r="E43" s="29"/>
      <c r="F43" s="28">
        <v>3.9</v>
      </c>
      <c r="G43" s="28"/>
      <c r="H43" s="28">
        <v>8.3000000000000007</v>
      </c>
      <c r="I43" s="28">
        <v>17.600000000000001</v>
      </c>
      <c r="J43" s="28">
        <v>15.6</v>
      </c>
      <c r="K43" s="60">
        <v>0</v>
      </c>
      <c r="M43" s="60">
        <v>53.5</v>
      </c>
      <c r="N43" s="60">
        <v>0</v>
      </c>
      <c r="P43" s="60">
        <v>0</v>
      </c>
      <c r="Q43" s="60">
        <v>0</v>
      </c>
      <c r="T43" s="28">
        <f t="shared" si="6"/>
        <v>99.9</v>
      </c>
      <c r="V43" s="38">
        <f>((D43/100)*65)+((F43/100)*53)+((K43/100)*2190)+((N43/100)*914)+((Q43/100)*943.58)</f>
        <v>2.7170000000000001</v>
      </c>
    </row>
    <row r="44" spans="1:25">
      <c r="B44" s="50">
        <v>2019</v>
      </c>
      <c r="C44" s="61" t="s">
        <v>119</v>
      </c>
      <c r="D44" s="59"/>
      <c r="E44" s="29"/>
      <c r="G44" s="28"/>
      <c r="H44" s="28"/>
      <c r="I44" s="28"/>
      <c r="K44" s="60"/>
      <c r="M44" s="60"/>
      <c r="N44" s="60"/>
      <c r="P44" s="60"/>
      <c r="Q44" s="60"/>
      <c r="T44" s="28"/>
      <c r="V44" s="38">
        <f>(0.037*0)+(0.963*3)</f>
        <v>2.8889999999999998</v>
      </c>
    </row>
    <row r="45" spans="1:25">
      <c r="A45" s="27" t="s">
        <v>41</v>
      </c>
      <c r="C45" s="28"/>
      <c r="D45" s="59"/>
      <c r="E45" s="29"/>
      <c r="G45" s="28"/>
      <c r="H45" s="28"/>
      <c r="I45" s="28"/>
      <c r="Y45" s="27" t="s">
        <v>98</v>
      </c>
    </row>
    <row r="46" spans="1:25">
      <c r="B46" s="27">
        <v>2018</v>
      </c>
      <c r="C46" s="61" t="s">
        <v>157</v>
      </c>
      <c r="D46" s="59">
        <v>0</v>
      </c>
      <c r="E46" s="29"/>
      <c r="F46" s="28">
        <v>1</v>
      </c>
      <c r="G46" s="28"/>
      <c r="H46" s="28"/>
      <c r="I46" s="28">
        <v>16</v>
      </c>
      <c r="J46" s="28">
        <v>25</v>
      </c>
      <c r="K46" s="60"/>
      <c r="M46" s="27">
        <v>21</v>
      </c>
      <c r="Q46" s="27">
        <v>38</v>
      </c>
      <c r="T46" s="28">
        <f>D46+F46+H46+I46+J46+K46+M46+N46+P46+Q46</f>
        <v>101</v>
      </c>
      <c r="V46" s="38">
        <f>((D46/100)*65)+((F46/100)*53)+((K46/100)*2190)+((N46/100)*914)+((Q46/100)*943.58)</f>
        <v>359.09039999999999</v>
      </c>
      <c r="Y46" s="27">
        <v>100.75</v>
      </c>
    </row>
    <row r="47" spans="1:25">
      <c r="B47" s="27">
        <v>2018</v>
      </c>
      <c r="C47" s="61" t="s">
        <v>158</v>
      </c>
      <c r="D47" s="59"/>
      <c r="E47" s="29"/>
      <c r="G47" s="28"/>
      <c r="H47" s="28"/>
      <c r="I47" s="28">
        <v>20</v>
      </c>
      <c r="J47" s="28">
        <v>25</v>
      </c>
      <c r="K47" s="60"/>
      <c r="M47" s="27">
        <v>55</v>
      </c>
      <c r="T47" s="28">
        <f t="shared" ref="T47:T50" si="7">D47+F47+H47+I47+J47+K47+M47+N47+P47+Q47</f>
        <v>100</v>
      </c>
      <c r="V47" s="38">
        <f t="shared" ref="V47:V50" si="8">((D47/100)*65)+((F47/100)*53)+((K47/100)*2190)+((N47/100)*914)+((Q47/100)*943.58)</f>
        <v>0</v>
      </c>
      <c r="Y47" s="27">
        <v>0</v>
      </c>
    </row>
    <row r="48" spans="1:25">
      <c r="B48" s="27">
        <v>2018</v>
      </c>
      <c r="C48" s="61" t="s">
        <v>119</v>
      </c>
      <c r="D48" s="59"/>
      <c r="E48" s="29"/>
      <c r="G48" s="28"/>
      <c r="H48" s="28"/>
      <c r="I48" s="28"/>
      <c r="K48" s="60"/>
      <c r="T48" s="28"/>
      <c r="V48" s="38">
        <f>(0.82*V46)+(0.18*0)</f>
        <v>294.45412799999997</v>
      </c>
      <c r="Y48" s="27">
        <v>82.62</v>
      </c>
    </row>
    <row r="49" spans="1:25">
      <c r="B49" s="27">
        <v>2019</v>
      </c>
      <c r="C49" s="61" t="s">
        <v>160</v>
      </c>
      <c r="D49" s="59">
        <v>3.6</v>
      </c>
      <c r="E49" s="29"/>
      <c r="F49" s="28">
        <v>12.3</v>
      </c>
      <c r="G49" s="28"/>
      <c r="H49" s="28">
        <v>4.9000000000000004</v>
      </c>
      <c r="I49" s="28">
        <v>3.5</v>
      </c>
      <c r="J49" s="28">
        <v>35.700000000000003</v>
      </c>
      <c r="K49" s="60">
        <v>0</v>
      </c>
      <c r="M49" s="60">
        <v>25.3</v>
      </c>
      <c r="N49" s="60">
        <v>0.1</v>
      </c>
      <c r="P49" s="60">
        <v>1.5</v>
      </c>
      <c r="Q49" s="60">
        <v>13.1</v>
      </c>
      <c r="T49" s="28">
        <f t="shared" si="7"/>
        <v>99.999999999999986</v>
      </c>
      <c r="V49" s="38">
        <f t="shared" si="8"/>
        <v>133.38198000000003</v>
      </c>
    </row>
    <row r="50" spans="1:25">
      <c r="B50" s="27">
        <v>2019</v>
      </c>
      <c r="C50" s="61" t="s">
        <v>159</v>
      </c>
      <c r="D50" s="59">
        <v>0</v>
      </c>
      <c r="E50" s="29"/>
      <c r="F50" s="28">
        <v>0</v>
      </c>
      <c r="G50" s="28"/>
      <c r="H50" s="28">
        <v>0</v>
      </c>
      <c r="I50" s="28">
        <v>37.5</v>
      </c>
      <c r="J50" s="28">
        <v>37.5</v>
      </c>
      <c r="K50" s="60">
        <v>0</v>
      </c>
      <c r="M50" s="60">
        <v>25</v>
      </c>
      <c r="N50" s="60">
        <v>0</v>
      </c>
      <c r="P50" s="60">
        <v>0</v>
      </c>
      <c r="Q50" s="60">
        <v>0</v>
      </c>
      <c r="T50" s="28">
        <f t="shared" si="7"/>
        <v>100</v>
      </c>
      <c r="V50" s="38">
        <f t="shared" si="8"/>
        <v>0</v>
      </c>
    </row>
    <row r="51" spans="1:25">
      <c r="B51" s="27">
        <v>2019</v>
      </c>
      <c r="C51" s="61" t="s">
        <v>119</v>
      </c>
      <c r="D51" s="59"/>
      <c r="E51" s="29"/>
      <c r="G51" s="28"/>
      <c r="H51" s="28"/>
      <c r="I51" s="28"/>
      <c r="K51" s="60"/>
      <c r="M51" s="60"/>
      <c r="N51" s="60"/>
      <c r="P51" s="60"/>
      <c r="Q51" s="60"/>
      <c r="T51" s="28"/>
      <c r="V51" s="38">
        <f>(0.15*0)+(0.85*133)</f>
        <v>113.05</v>
      </c>
    </row>
    <row r="52" spans="1:25">
      <c r="A52" s="27" t="s">
        <v>44</v>
      </c>
      <c r="C52" s="28"/>
      <c r="D52" s="59"/>
      <c r="E52" s="29"/>
      <c r="G52" s="28"/>
      <c r="H52" s="28"/>
      <c r="I52" s="28"/>
      <c r="Y52" s="27" t="s">
        <v>107</v>
      </c>
    </row>
    <row r="53" spans="1:25">
      <c r="B53" s="50">
        <v>2018</v>
      </c>
      <c r="C53" s="61"/>
      <c r="D53" s="59"/>
      <c r="E53" s="29"/>
      <c r="G53" s="28"/>
      <c r="H53" s="28"/>
      <c r="I53" s="28"/>
      <c r="J53" s="28">
        <v>48</v>
      </c>
      <c r="K53" s="60"/>
      <c r="M53" s="27">
        <v>52</v>
      </c>
      <c r="T53" s="28">
        <f>D53+F53+H53+I53+J53+K53+M53+N53+P53+Q53</f>
        <v>100</v>
      </c>
      <c r="V53" s="38">
        <f>((D53/100)*65)+((F53/100)*53)+((K53/100)*2190)+((N53/100)*914)+((Q53/100)*943.58)</f>
        <v>0</v>
      </c>
      <c r="Y53" s="27">
        <v>0</v>
      </c>
    </row>
    <row r="54" spans="1:25">
      <c r="B54" s="27">
        <v>2019</v>
      </c>
      <c r="C54" s="28"/>
      <c r="D54" s="59">
        <v>3.7</v>
      </c>
      <c r="E54" s="29"/>
      <c r="F54" s="28">
        <v>2.2999999999999998</v>
      </c>
      <c r="G54" s="28"/>
      <c r="H54" s="28"/>
      <c r="I54" s="28">
        <v>18.8</v>
      </c>
      <c r="J54" s="28">
        <v>9.1</v>
      </c>
      <c r="K54" s="28">
        <v>0</v>
      </c>
      <c r="M54" s="27">
        <v>29.2</v>
      </c>
      <c r="N54" s="28">
        <v>0.2</v>
      </c>
      <c r="P54" s="27">
        <v>0.6</v>
      </c>
      <c r="Q54" s="27">
        <v>35.5</v>
      </c>
      <c r="S54" s="27">
        <v>0.6</v>
      </c>
      <c r="T54" s="28">
        <f>D54+F54+H54+I54+J54+K54+M54+N54+P54+Q54</f>
        <v>99.4</v>
      </c>
      <c r="V54" s="38">
        <f>((D54/100)*65)+((F54/100)*53)+((K54/100)*2190)+((N54/100)*914)+((Q54/100)*943.58)</f>
        <v>340.42289999999997</v>
      </c>
    </row>
    <row r="55" spans="1:25">
      <c r="B55" s="50"/>
      <c r="C55" s="28"/>
      <c r="D55" s="59"/>
      <c r="E55" s="29"/>
      <c r="I55" s="28"/>
      <c r="K55" s="60"/>
    </row>
    <row r="56" spans="1:25">
      <c r="I56" s="28"/>
    </row>
    <row r="59" spans="1:25">
      <c r="A59" s="27" t="s">
        <v>63</v>
      </c>
      <c r="D59" s="27" t="s">
        <v>83</v>
      </c>
      <c r="G59" s="27" t="s">
        <v>77</v>
      </c>
    </row>
    <row r="60" spans="1:25">
      <c r="A60" s="64" t="s">
        <v>74</v>
      </c>
      <c r="C60" s="27">
        <v>65</v>
      </c>
      <c r="D60" s="27" t="s">
        <v>76</v>
      </c>
      <c r="G60" s="27" t="s">
        <v>78</v>
      </c>
    </row>
    <row r="61" spans="1:25">
      <c r="A61" s="64" t="s">
        <v>75</v>
      </c>
      <c r="C61" s="27">
        <v>53</v>
      </c>
      <c r="D61" s="27" t="s">
        <v>76</v>
      </c>
      <c r="G61" s="27" t="s">
        <v>79</v>
      </c>
    </row>
    <row r="62" spans="1:25">
      <c r="A62" s="27" t="s">
        <v>64</v>
      </c>
      <c r="C62" s="27">
        <v>0</v>
      </c>
    </row>
    <row r="63" spans="1:25">
      <c r="A63" s="27" t="s">
        <v>65</v>
      </c>
      <c r="C63" s="27">
        <v>0</v>
      </c>
    </row>
    <row r="64" spans="1:25">
      <c r="A64" s="27" t="s">
        <v>66</v>
      </c>
      <c r="C64" s="27">
        <v>0</v>
      </c>
    </row>
    <row r="65" spans="1:25">
      <c r="A65" s="27" t="s">
        <v>71</v>
      </c>
      <c r="C65" s="27">
        <v>0</v>
      </c>
      <c r="G65" s="27" t="s">
        <v>106</v>
      </c>
    </row>
    <row r="66" spans="1:25">
      <c r="A66" s="27" t="s">
        <v>67</v>
      </c>
      <c r="C66" s="27">
        <v>0.99399999999999999</v>
      </c>
      <c r="D66" s="27" t="s">
        <v>80</v>
      </c>
      <c r="E66" s="28">
        <v>2190</v>
      </c>
      <c r="F66" s="28" t="s">
        <v>76</v>
      </c>
      <c r="G66" s="27" t="s">
        <v>81</v>
      </c>
    </row>
    <row r="67" spans="1:25">
      <c r="A67" s="27" t="s">
        <v>68</v>
      </c>
      <c r="C67" s="27">
        <v>0</v>
      </c>
      <c r="E67" s="27">
        <v>0</v>
      </c>
      <c r="H67" s="27" t="s">
        <v>82</v>
      </c>
    </row>
    <row r="68" spans="1:25">
      <c r="A68" s="27" t="s">
        <v>69</v>
      </c>
      <c r="C68" s="27">
        <v>5.3099999999999996E-3</v>
      </c>
      <c r="D68" s="27" t="s">
        <v>72</v>
      </c>
      <c r="G68" s="27" t="s">
        <v>93</v>
      </c>
    </row>
    <row r="69" spans="1:25">
      <c r="A69" s="27" t="s">
        <v>70</v>
      </c>
      <c r="C69" s="27">
        <v>0</v>
      </c>
      <c r="E69" s="27">
        <v>0</v>
      </c>
    </row>
    <row r="70" spans="1:25">
      <c r="A70" s="64" t="s">
        <v>134</v>
      </c>
      <c r="C70" s="27">
        <v>0.42699999999999999</v>
      </c>
      <c r="D70" s="27" t="s">
        <v>73</v>
      </c>
      <c r="E70" s="27">
        <v>943.58</v>
      </c>
      <c r="F70" s="28" t="s">
        <v>76</v>
      </c>
      <c r="G70" s="27" t="s">
        <v>133</v>
      </c>
    </row>
    <row r="71" spans="1:25">
      <c r="G71" s="27" t="s">
        <v>132</v>
      </c>
    </row>
    <row r="75" spans="1:25">
      <c r="A75" s="27" t="s">
        <v>120</v>
      </c>
    </row>
    <row r="76" spans="1:25">
      <c r="A76" s="27" t="s">
        <v>104</v>
      </c>
      <c r="C76" s="28"/>
      <c r="D76" s="59"/>
      <c r="E76" s="29"/>
      <c r="G76" s="28"/>
      <c r="H76" s="28"/>
      <c r="I76" s="28"/>
      <c r="Y76" s="58" t="s">
        <v>94</v>
      </c>
    </row>
    <row r="77" spans="1:25">
      <c r="B77" s="27">
        <v>2014</v>
      </c>
      <c r="C77" s="28"/>
      <c r="D77" s="59">
        <v>5</v>
      </c>
      <c r="E77" s="29"/>
      <c r="F77" s="28">
        <v>4</v>
      </c>
      <c r="G77" s="28"/>
      <c r="H77" s="28">
        <v>0</v>
      </c>
      <c r="I77" s="28">
        <v>1</v>
      </c>
      <c r="J77" s="28">
        <v>46</v>
      </c>
      <c r="K77" s="60">
        <v>0</v>
      </c>
      <c r="M77" s="60">
        <v>9</v>
      </c>
      <c r="N77" s="60">
        <v>0</v>
      </c>
      <c r="P77" s="60">
        <v>0</v>
      </c>
      <c r="Q77" s="60">
        <v>35</v>
      </c>
      <c r="T77" s="28">
        <f>D77+F77+H77+I77+J77+K77+M77+N77+P77+Q77</f>
        <v>100</v>
      </c>
      <c r="V77" s="38">
        <f>((D77/100)*65)+((F77/100)*53)+((K77/100)*2190)+((N77/100)*914)+((Q77/100)*943.58)</f>
        <v>335.62299999999999</v>
      </c>
      <c r="Y77" s="28">
        <v>324</v>
      </c>
    </row>
    <row r="78" spans="1:25">
      <c r="B78" s="27">
        <v>2015</v>
      </c>
      <c r="C78" s="28"/>
      <c r="D78" s="59">
        <v>5</v>
      </c>
      <c r="E78" s="29"/>
      <c r="F78" s="28">
        <v>2</v>
      </c>
      <c r="G78" s="28"/>
      <c r="H78" s="28">
        <v>4</v>
      </c>
      <c r="I78" s="28">
        <v>5</v>
      </c>
      <c r="J78" s="28">
        <v>36</v>
      </c>
      <c r="K78" s="60">
        <v>0</v>
      </c>
      <c r="M78" s="60">
        <v>12</v>
      </c>
      <c r="N78" s="60">
        <v>12</v>
      </c>
      <c r="P78" s="60">
        <v>0</v>
      </c>
      <c r="Q78" s="60">
        <v>25</v>
      </c>
      <c r="T78" s="28">
        <f>D78+F78+H78+I78+J78+K78+M78+N78+P78+Q78</f>
        <v>101</v>
      </c>
      <c r="V78" s="38">
        <f>((D78/100)*65)+((F78/100)*53)+((K78/100)*2190)+((N78/100)*914)+((Q78/100)*943.58)</f>
        <v>349.88499999999999</v>
      </c>
      <c r="Y78" s="28">
        <v>323</v>
      </c>
    </row>
    <row r="79" spans="1:25">
      <c r="B79" s="27">
        <v>2016</v>
      </c>
      <c r="C79" s="28"/>
      <c r="D79" s="59">
        <v>5</v>
      </c>
      <c r="E79" s="29"/>
      <c r="F79" s="28">
        <v>0</v>
      </c>
      <c r="G79" s="28"/>
      <c r="H79" s="28">
        <v>7</v>
      </c>
      <c r="I79" s="28">
        <v>9</v>
      </c>
      <c r="J79" s="28">
        <v>34</v>
      </c>
      <c r="K79" s="60">
        <v>0</v>
      </c>
      <c r="M79" s="60">
        <v>13</v>
      </c>
      <c r="N79" s="60">
        <v>12</v>
      </c>
      <c r="P79" s="60">
        <v>0</v>
      </c>
      <c r="Q79" s="60">
        <v>19</v>
      </c>
      <c r="T79" s="28">
        <f>D79+F79+H79+I79+J79+K79+M79+N79+P79+Q79</f>
        <v>99</v>
      </c>
      <c r="V79" s="38">
        <f>((D79/100)*65)+((F79/100)*53)+((K79/100)*2190)+((N79/100)*914)+((Q79/100)*943.58)</f>
        <v>292.21019999999999</v>
      </c>
      <c r="Y79" s="28">
        <v>279</v>
      </c>
    </row>
    <row r="80" spans="1:25">
      <c r="B80" s="27">
        <v>2017</v>
      </c>
      <c r="C80" s="28"/>
      <c r="D80" s="59">
        <v>6</v>
      </c>
      <c r="E80" s="29"/>
      <c r="F80" s="28">
        <v>10</v>
      </c>
      <c r="G80" s="28"/>
      <c r="H80" s="28">
        <v>9</v>
      </c>
      <c r="I80" s="28">
        <v>9</v>
      </c>
      <c r="J80" s="28">
        <v>27</v>
      </c>
      <c r="K80" s="60">
        <v>0</v>
      </c>
      <c r="M80" s="60">
        <v>26</v>
      </c>
      <c r="N80" s="60">
        <v>5</v>
      </c>
      <c r="P80" s="60">
        <v>0</v>
      </c>
      <c r="Q80" s="60">
        <v>6</v>
      </c>
      <c r="T80" s="28">
        <f>D80+F80+H80+I80+J80+K80+M80+N80+P80+Q80</f>
        <v>98</v>
      </c>
      <c r="V80" s="38">
        <f>((D80/100)*65)+((F80/100)*53)+((K80/100)*2190)+((N80/100)*914)+((Q80/100)*943.58)</f>
        <v>111.51480000000001</v>
      </c>
      <c r="Y80" s="28">
        <v>109</v>
      </c>
    </row>
    <row r="81" spans="1:25">
      <c r="B81" s="27">
        <v>2018</v>
      </c>
      <c r="C81" s="61"/>
      <c r="D81" s="59">
        <v>4</v>
      </c>
      <c r="E81" s="29"/>
      <c r="F81" s="28">
        <v>3</v>
      </c>
      <c r="G81" s="28"/>
      <c r="H81" s="28">
        <v>2</v>
      </c>
      <c r="I81" s="28">
        <v>11</v>
      </c>
      <c r="J81" s="28">
        <v>39</v>
      </c>
      <c r="K81" s="60">
        <v>0</v>
      </c>
      <c r="M81" s="60">
        <v>13</v>
      </c>
      <c r="N81" s="60">
        <v>0</v>
      </c>
      <c r="P81" s="60">
        <v>0</v>
      </c>
      <c r="Q81" s="60">
        <v>13</v>
      </c>
      <c r="S81" s="60">
        <v>13</v>
      </c>
      <c r="T81" s="28">
        <f>D81+F81+H81+I81+J81+K81+M81+N81+P81+Q81+S81</f>
        <v>98</v>
      </c>
      <c r="V81" s="38">
        <f>((D81/100)*65)+((F81/100)*53)+((K81/100)*2190)+((N81/100)*914)+((Q81/100)*943.58)</f>
        <v>126.8554</v>
      </c>
      <c r="Y81" s="28">
        <v>122</v>
      </c>
    </row>
    <row r="85" spans="1:25">
      <c r="D85" s="27" t="s">
        <v>123</v>
      </c>
    </row>
    <row r="86" spans="1:25">
      <c r="D86" s="27" t="s">
        <v>124</v>
      </c>
    </row>
    <row r="87" spans="1:25">
      <c r="D87" s="27" t="s">
        <v>127</v>
      </c>
    </row>
    <row r="88" spans="1:25">
      <c r="D88" s="27" t="s">
        <v>178</v>
      </c>
    </row>
    <row r="91" spans="1:25">
      <c r="B91" s="27" t="s">
        <v>6</v>
      </c>
      <c r="C91" s="27" t="s">
        <v>125</v>
      </c>
      <c r="D91" s="27" t="s">
        <v>122</v>
      </c>
      <c r="E91" s="27" t="s">
        <v>11</v>
      </c>
      <c r="F91" s="28" t="s">
        <v>126</v>
      </c>
    </row>
    <row r="92" spans="1:25">
      <c r="A92" s="27" t="s">
        <v>131</v>
      </c>
    </row>
    <row r="93" spans="1:25">
      <c r="A93" s="27">
        <v>2014</v>
      </c>
      <c r="B93" s="28">
        <v>1355.2776060000001</v>
      </c>
      <c r="C93" s="28">
        <v>1047.13804</v>
      </c>
      <c r="F93" s="28">
        <v>1254.7950000000001</v>
      </c>
    </row>
    <row r="94" spans="1:25">
      <c r="A94" s="27">
        <v>2015</v>
      </c>
      <c r="B94" s="28">
        <v>1354.8779219999999</v>
      </c>
      <c r="C94" s="28">
        <v>1053.272377</v>
      </c>
      <c r="F94" s="28">
        <v>1695.2739999999999</v>
      </c>
    </row>
    <row r="95" spans="1:25">
      <c r="A95" s="27">
        <v>2016</v>
      </c>
      <c r="B95" s="28">
        <v>1342.7602870000001</v>
      </c>
      <c r="C95" s="28">
        <v>1057.5443</v>
      </c>
      <c r="F95" s="28">
        <v>2125.0909999999999</v>
      </c>
    </row>
    <row r="96" spans="1:25">
      <c r="A96" s="27">
        <v>2017</v>
      </c>
      <c r="B96" s="28">
        <v>1384.9079819999999</v>
      </c>
      <c r="C96" s="28">
        <v>1060.8604760000001</v>
      </c>
      <c r="F96" s="28">
        <v>2804.2779999999998</v>
      </c>
    </row>
    <row r="97" spans="1:13">
      <c r="A97" s="27">
        <v>2018</v>
      </c>
      <c r="B97" s="28">
        <v>1324.7477960000001</v>
      </c>
      <c r="C97" s="28">
        <v>1034.602938</v>
      </c>
      <c r="D97" s="28">
        <v>9308.494455</v>
      </c>
      <c r="F97" s="28">
        <v>4436.9629999999997</v>
      </c>
      <c r="L97" s="28"/>
    </row>
    <row r="98" spans="1:13">
      <c r="A98" s="27">
        <v>2019</v>
      </c>
      <c r="B98" s="28">
        <v>1355</v>
      </c>
      <c r="C98" s="28">
        <v>1042</v>
      </c>
      <c r="D98" s="28">
        <v>9639</v>
      </c>
      <c r="E98" s="28">
        <v>3227</v>
      </c>
      <c r="F98" s="28">
        <f>(4949775+185343+1041)/1000</f>
        <v>5136.1589999999997</v>
      </c>
    </row>
    <row r="100" spans="1:13">
      <c r="A100" s="27" t="s">
        <v>161</v>
      </c>
    </row>
    <row r="102" spans="1:13">
      <c r="B102" s="27" t="s">
        <v>162</v>
      </c>
      <c r="D102" s="27" t="s">
        <v>163</v>
      </c>
      <c r="F102" s="28" t="s">
        <v>164</v>
      </c>
      <c r="H102" s="27" t="s">
        <v>171</v>
      </c>
      <c r="J102" s="27" t="s">
        <v>165</v>
      </c>
      <c r="K102" s="27"/>
      <c r="L102" s="28"/>
      <c r="M102" s="28" t="s">
        <v>166</v>
      </c>
    </row>
    <row r="103" spans="1:13">
      <c r="A103" s="27" t="s">
        <v>121</v>
      </c>
      <c r="H103" s="27" t="s">
        <v>170</v>
      </c>
      <c r="J103" s="27"/>
      <c r="K103" s="27"/>
      <c r="M103" s="28"/>
    </row>
    <row r="104" spans="1:13">
      <c r="A104" s="27">
        <v>2019</v>
      </c>
      <c r="B104" s="27">
        <v>1671329</v>
      </c>
      <c r="D104" s="27">
        <f>B104-(77624+63013+81777+49149)</f>
        <v>1399766</v>
      </c>
      <c r="F104" s="28">
        <v>5819.9110000000001</v>
      </c>
      <c r="H104" s="28">
        <f>342755/1000</f>
        <v>342.755</v>
      </c>
      <c r="J104" s="28">
        <f>M104-H104-F104</f>
        <v>4521.3340000000007</v>
      </c>
      <c r="K104" s="27"/>
      <c r="L104" s="28"/>
      <c r="M104" s="28">
        <v>10684</v>
      </c>
    </row>
    <row r="106" spans="1:13">
      <c r="D106" s="27" t="s">
        <v>167</v>
      </c>
    </row>
    <row r="107" spans="1:13">
      <c r="D107" s="50" t="s">
        <v>168</v>
      </c>
    </row>
    <row r="108" spans="1:13">
      <c r="D108" s="27" t="s">
        <v>169</v>
      </c>
    </row>
    <row r="110" spans="1:13">
      <c r="A110" s="27" t="s">
        <v>172</v>
      </c>
    </row>
    <row r="111" spans="1:13">
      <c r="A111" s="27" t="s">
        <v>173</v>
      </c>
      <c r="B111" s="26">
        <f>3419342+33782</f>
        <v>3453124</v>
      </c>
      <c r="C111" s="65">
        <f>B111/(B111+B112)</f>
        <v>0.4643348383445316</v>
      </c>
    </row>
    <row r="112" spans="1:13">
      <c r="A112" s="27" t="s">
        <v>174</v>
      </c>
      <c r="B112" s="26">
        <f>147090+3836497</f>
        <v>3983587</v>
      </c>
      <c r="C112" s="65">
        <f>B112/(B112+B111)</f>
        <v>0.5356651616554684</v>
      </c>
    </row>
    <row r="113" spans="1:18">
      <c r="A113" s="27" t="s">
        <v>175</v>
      </c>
      <c r="B113" s="26">
        <v>340</v>
      </c>
    </row>
    <row r="114" spans="1:18">
      <c r="A114" s="27" t="s">
        <v>176</v>
      </c>
      <c r="B114" s="27">
        <v>3</v>
      </c>
    </row>
    <row r="115" spans="1:18">
      <c r="A115" s="27" t="s">
        <v>177</v>
      </c>
      <c r="B115" s="27">
        <f>(B113*C111)+B114*C112</f>
        <v>159.48084052210714</v>
      </c>
      <c r="R115" s="65"/>
    </row>
    <row r="116" spans="1:18">
      <c r="R116" s="65"/>
    </row>
    <row r="117" spans="1:18">
      <c r="R117" s="65"/>
    </row>
    <row r="118" spans="1:18">
      <c r="R118" s="65"/>
    </row>
    <row r="120" spans="1:18">
      <c r="R120" s="38"/>
    </row>
    <row r="121" spans="1:18">
      <c r="R121" s="38"/>
    </row>
    <row r="122" spans="1:18">
      <c r="Q122" s="38"/>
      <c r="R122" s="38"/>
    </row>
    <row r="123" spans="1:18">
      <c r="R123" s="38"/>
    </row>
  </sheetData>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1CE2A-B1E0-4745-8F7B-8C78E719A9C6}">
  <dimension ref="A1:S184"/>
  <sheetViews>
    <sheetView zoomScaleNormal="100" workbookViewId="0">
      <pane ySplit="3" topLeftCell="A64" activePane="bottomLeft" state="frozen"/>
      <selection pane="bottomLeft" activeCell="S74" sqref="S74"/>
    </sheetView>
  </sheetViews>
  <sheetFormatPr defaultColWidth="10.58203125" defaultRowHeight="15.5"/>
  <cols>
    <col min="4" max="4" width="12.33203125" bestFit="1" customWidth="1"/>
    <col min="5" max="6" width="12.25" bestFit="1" customWidth="1"/>
    <col min="7" max="7" width="11.33203125" bestFit="1" customWidth="1"/>
    <col min="10" max="10" width="11.25" bestFit="1" customWidth="1"/>
  </cols>
  <sheetData>
    <row r="1" spans="1:18" ht="29.5">
      <c r="D1" s="25" t="s">
        <v>184</v>
      </c>
      <c r="Q1" s="8"/>
    </row>
    <row r="2" spans="1:18">
      <c r="A2" s="13" t="s">
        <v>14</v>
      </c>
      <c r="B2" s="13" t="s">
        <v>1</v>
      </c>
      <c r="C2" s="13"/>
      <c r="D2" s="22" t="s">
        <v>13</v>
      </c>
      <c r="E2" s="13"/>
      <c r="F2" s="13"/>
      <c r="G2" s="24" t="s">
        <v>2</v>
      </c>
      <c r="H2" s="17"/>
      <c r="I2" s="13"/>
      <c r="J2" s="18" t="s">
        <v>3</v>
      </c>
      <c r="K2" s="14"/>
      <c r="L2" s="14"/>
      <c r="M2" s="18" t="s">
        <v>4</v>
      </c>
      <c r="N2" s="13"/>
      <c r="O2" s="13"/>
      <c r="P2" s="18" t="s">
        <v>35</v>
      </c>
      <c r="Q2" s="17" t="s">
        <v>35</v>
      </c>
      <c r="R2" s="13"/>
    </row>
    <row r="3" spans="1:18">
      <c r="A3" t="s">
        <v>0</v>
      </c>
      <c r="C3" s="4"/>
      <c r="D3" s="23" t="s">
        <v>117</v>
      </c>
      <c r="E3" s="16" t="s">
        <v>118</v>
      </c>
      <c r="F3" s="4"/>
      <c r="G3" s="19" t="s">
        <v>108</v>
      </c>
      <c r="H3" s="9" t="s">
        <v>118</v>
      </c>
      <c r="I3" s="4"/>
      <c r="J3" s="19" t="s">
        <v>116</v>
      </c>
      <c r="K3" s="4" t="s">
        <v>118</v>
      </c>
      <c r="L3" s="4"/>
      <c r="M3" s="19" t="s">
        <v>116</v>
      </c>
      <c r="N3" s="4" t="s">
        <v>118</v>
      </c>
      <c r="O3" s="4"/>
      <c r="P3" s="19" t="s">
        <v>108</v>
      </c>
      <c r="Q3" s="9" t="s">
        <v>118</v>
      </c>
    </row>
    <row r="4" spans="1:18">
      <c r="A4">
        <v>1608674</v>
      </c>
      <c r="B4">
        <v>2014</v>
      </c>
      <c r="C4" s="3"/>
      <c r="D4" s="21">
        <f>(transportation!S3)/1000000</f>
        <v>4.1536147810000008</v>
      </c>
      <c r="E4" s="8">
        <f>transportation!T3</f>
        <v>2.582011508235976</v>
      </c>
      <c r="F4" s="8"/>
      <c r="G4" s="10">
        <f>(total!K3)/1000000</f>
        <v>2.293143454617248</v>
      </c>
      <c r="H4" s="8">
        <f>total!L3</f>
        <v>1.4254867391511568</v>
      </c>
      <c r="I4" s="3"/>
      <c r="J4" s="10">
        <f>(total!O3)/1000000</f>
        <v>1.9218056784999999</v>
      </c>
      <c r="K4" s="8">
        <f>total!P3</f>
        <v>1.1946520416815338</v>
      </c>
      <c r="M4" s="20">
        <f>(total!S3)/1000000</f>
        <v>0.2655805296</v>
      </c>
      <c r="N4" s="8">
        <f>total!T3</f>
        <v>0.16509282154121968</v>
      </c>
      <c r="O4" s="8"/>
      <c r="P4" s="10">
        <f>D4+G4+J4+M4</f>
        <v>8.6341444437172488</v>
      </c>
      <c r="Q4" s="8">
        <f>E4+H4+K4+N4</f>
        <v>5.3672431106098868</v>
      </c>
    </row>
    <row r="5" spans="1:18">
      <c r="A5">
        <v>1634634</v>
      </c>
      <c r="B5">
        <v>2015</v>
      </c>
      <c r="C5" s="3"/>
      <c r="D5" s="21">
        <f>(transportation!S4)/1000000</f>
        <v>4.7728866320000005</v>
      </c>
      <c r="E5" s="8">
        <f>transportation!T4</f>
        <v>2.9198503346926592</v>
      </c>
      <c r="F5" s="8"/>
      <c r="G5" s="10">
        <f>(total!K4)/1000000</f>
        <v>2.1544869448378114</v>
      </c>
      <c r="H5" s="8">
        <f>total!L4</f>
        <v>1.3180240621679296</v>
      </c>
      <c r="I5" s="3"/>
      <c r="J5" s="10">
        <f>(total!O4)/1000000</f>
        <v>1.8997500730000001</v>
      </c>
      <c r="K5" s="8">
        <f>total!P4</f>
        <v>1.1621868094019825</v>
      </c>
      <c r="M5" s="20">
        <f>(total!S4)/1000000</f>
        <v>0.27138862079999998</v>
      </c>
      <c r="N5" s="8">
        <f>total!T4</f>
        <v>0.16602408906213867</v>
      </c>
      <c r="O5" s="8"/>
      <c r="P5" s="10">
        <f t="shared" ref="P5:P68" si="0">D5+G5+J5+M5</f>
        <v>9.0985122706378121</v>
      </c>
      <c r="Q5" s="8">
        <f t="shared" ref="Q5:Q68" si="1">E5+H5+K5+N5</f>
        <v>5.5660852953247089</v>
      </c>
    </row>
    <row r="6" spans="1:18">
      <c r="A6">
        <v>1650306</v>
      </c>
      <c r="B6">
        <v>2016</v>
      </c>
      <c r="C6" s="3"/>
      <c r="D6" s="21">
        <f>(transportation!S5)/1000000</f>
        <v>5.1334917539999996</v>
      </c>
      <c r="E6" s="8">
        <f>transportation!T5</f>
        <v>3.1106302431185489</v>
      </c>
      <c r="F6" s="8"/>
      <c r="G6" s="10">
        <f>(total!K5)/1000000</f>
        <v>1.9615987202406713</v>
      </c>
      <c r="H6" s="8">
        <f>total!L5</f>
        <v>1.1886272729061587</v>
      </c>
      <c r="I6" s="3"/>
      <c r="J6" s="10">
        <f>(total!O5)/1000000</f>
        <v>1.9179160667999999</v>
      </c>
      <c r="K6" s="8">
        <f>total!P5</f>
        <v>1.162157846363038</v>
      </c>
      <c r="M6" s="20">
        <f>(total!S5)/1000000</f>
        <v>0.28522533359999996</v>
      </c>
      <c r="N6" s="8">
        <f>total!T5</f>
        <v>0.17283178610512229</v>
      </c>
      <c r="O6" s="8"/>
      <c r="P6" s="10">
        <f t="shared" si="0"/>
        <v>9.2982318746406705</v>
      </c>
      <c r="Q6" s="8">
        <f t="shared" si="1"/>
        <v>5.634247148492868</v>
      </c>
    </row>
    <row r="7" spans="1:18">
      <c r="A7">
        <v>1658131</v>
      </c>
      <c r="B7">
        <v>2017</v>
      </c>
      <c r="C7" s="3"/>
      <c r="D7" s="21">
        <f>(transportation!S6)/1000000</f>
        <v>5.1629787410000008</v>
      </c>
      <c r="E7" s="8">
        <f>transportation!T6</f>
        <v>3.1137339215055988</v>
      </c>
      <c r="F7" s="8"/>
      <c r="G7" s="10">
        <f>(total!K6)/1000000</f>
        <v>1.7575043756030921</v>
      </c>
      <c r="H7" s="8">
        <f>total!L6</f>
        <v>1.0599309557586778</v>
      </c>
      <c r="I7" s="3"/>
      <c r="J7" s="10">
        <f>(total!O6)/1000000</f>
        <v>2.0088445416000003</v>
      </c>
      <c r="K7" s="8">
        <f>total!P6</f>
        <v>1.2115113592351872</v>
      </c>
      <c r="M7" s="20">
        <f>(total!S6)/1000000</f>
        <v>0.33151928399999997</v>
      </c>
      <c r="N7" s="8">
        <f>total!T6</f>
        <v>0.19993552017301405</v>
      </c>
      <c r="O7" s="8"/>
      <c r="P7" s="10">
        <f t="shared" si="0"/>
        <v>9.2608469422030932</v>
      </c>
      <c r="Q7" s="8">
        <f t="shared" si="1"/>
        <v>5.5851117566724779</v>
      </c>
    </row>
    <row r="8" spans="1:18">
      <c r="A8">
        <v>1666753</v>
      </c>
      <c r="B8">
        <v>2018</v>
      </c>
      <c r="C8" s="7"/>
      <c r="D8" s="21">
        <f>(transportation!S7)/1000000</f>
        <v>5.0654281000000019</v>
      </c>
      <c r="E8" s="8">
        <f>transportation!T7</f>
        <v>3.0390994346492861</v>
      </c>
      <c r="F8" s="8"/>
      <c r="G8" s="10">
        <f>(total!K7)/1000000</f>
        <v>1.4191185066890502</v>
      </c>
      <c r="H8" s="8">
        <f>total!L7</f>
        <v>0.85142700009482519</v>
      </c>
      <c r="I8" s="3"/>
      <c r="J8" s="10">
        <f>(total!O7)/1000000</f>
        <v>1.9981092856</v>
      </c>
      <c r="K8" s="8">
        <f>total!P7</f>
        <v>1.198803473340081</v>
      </c>
      <c r="M8" s="20">
        <f>(total!S7)/1000000</f>
        <v>0.32219768160000001</v>
      </c>
      <c r="N8" s="8">
        <f>total!T7</f>
        <v>0.19330859557474925</v>
      </c>
      <c r="O8" s="8"/>
      <c r="P8" s="10">
        <f t="shared" si="0"/>
        <v>8.8048535738890532</v>
      </c>
      <c r="Q8" s="8">
        <f t="shared" si="1"/>
        <v>5.2826385036589416</v>
      </c>
    </row>
    <row r="9" spans="1:18">
      <c r="A9">
        <f>total!A8</f>
        <v>1671329</v>
      </c>
      <c r="B9" s="2">
        <v>2019</v>
      </c>
      <c r="C9" s="7"/>
      <c r="D9" s="21">
        <f>(transportation!S8)/1000000</f>
        <v>5.1467866340000015</v>
      </c>
      <c r="E9" s="8">
        <f>transportation!T8</f>
        <v>3.0794575059727927</v>
      </c>
      <c r="F9" s="8"/>
      <c r="G9" s="10">
        <f>(total!K8)/1000000</f>
        <v>1.1870654075612286</v>
      </c>
      <c r="H9" s="8">
        <f>total!L8</f>
        <v>0.71025238451629125</v>
      </c>
      <c r="I9" s="3"/>
      <c r="J9" s="10">
        <f>(total!O8)/1000000</f>
        <v>2.0359978036999999</v>
      </c>
      <c r="K9" s="8">
        <f>total!P8</f>
        <v>1.2181909149545063</v>
      </c>
      <c r="M9" s="20">
        <f>(total!S8)/1000000</f>
        <v>0.35166335999999998</v>
      </c>
      <c r="N9" s="8">
        <f>total!T8</f>
        <v>0.21040941669772975</v>
      </c>
      <c r="O9" s="8"/>
      <c r="P9" s="10">
        <f t="shared" si="0"/>
        <v>8.7215132052612301</v>
      </c>
      <c r="Q9" s="8">
        <f t="shared" si="1"/>
        <v>5.2183102221413202</v>
      </c>
    </row>
    <row r="10" spans="1:18">
      <c r="A10" t="s">
        <v>5</v>
      </c>
      <c r="C10" s="3"/>
      <c r="D10" s="21"/>
      <c r="E10" s="8"/>
      <c r="F10" s="8"/>
      <c r="G10" s="10"/>
      <c r="H10" s="8"/>
      <c r="I10" s="3"/>
      <c r="J10" s="10"/>
      <c r="K10" s="8"/>
      <c r="M10" s="20"/>
      <c r="N10" s="8"/>
      <c r="P10" s="10"/>
      <c r="Q10" s="8"/>
    </row>
    <row r="11" spans="1:18">
      <c r="A11">
        <v>1109358</v>
      </c>
      <c r="B11">
        <v>2014</v>
      </c>
      <c r="C11" s="3"/>
      <c r="D11" s="21">
        <f>(transportation!S10)/1000000</f>
        <v>3.2727587720000004</v>
      </c>
      <c r="E11" s="8">
        <f>transportation!T10</f>
        <v>2.9501376219398971</v>
      </c>
      <c r="F11" s="8"/>
      <c r="G11" s="10">
        <f>(total!K10)/1000000</f>
        <v>2.6546716451462897</v>
      </c>
      <c r="H11" s="8">
        <f>total!L10</f>
        <v>2.392980124672369</v>
      </c>
      <c r="I11" s="3"/>
      <c r="J11" s="10">
        <f>(total!O10)/1000000</f>
        <v>5.8258969042999995</v>
      </c>
      <c r="K11" s="8">
        <f>total!P10</f>
        <v>5.251593177585594</v>
      </c>
      <c r="M11" s="20">
        <f>(total!S10)/1000000</f>
        <v>0.16467185039999999</v>
      </c>
      <c r="N11" s="8">
        <f>total!T10</f>
        <v>0.14843887221257701</v>
      </c>
      <c r="O11" s="8"/>
      <c r="P11" s="10">
        <f t="shared" si="0"/>
        <v>11.917999171846288</v>
      </c>
      <c r="Q11" s="8">
        <f t="shared" si="1"/>
        <v>10.743149796410437</v>
      </c>
    </row>
    <row r="12" spans="1:18">
      <c r="A12">
        <v>1124606</v>
      </c>
      <c r="B12">
        <v>2015</v>
      </c>
      <c r="C12" s="3"/>
      <c r="D12" s="21">
        <f>(transportation!S11)/1000000</f>
        <v>3.2517549200000002</v>
      </c>
      <c r="E12" s="8">
        <f>transportation!T11</f>
        <v>2.8914614718399156</v>
      </c>
      <c r="F12" s="8"/>
      <c r="G12" s="10">
        <f>(total!K11)/1000000</f>
        <v>2.5493143925549346</v>
      </c>
      <c r="H12" s="8">
        <f>total!L11</f>
        <v>2.2668511394701207</v>
      </c>
      <c r="I12" s="3"/>
      <c r="J12" s="10">
        <f>(total!O11)/1000000</f>
        <v>5.7645648167000001</v>
      </c>
      <c r="K12" s="8">
        <f>total!P11</f>
        <v>5.1258528024036867</v>
      </c>
      <c r="M12" s="20">
        <f>(total!S11)/1000000</f>
        <v>0.17259580320000001</v>
      </c>
      <c r="N12" s="8">
        <f>total!T11</f>
        <v>0.15347224112266875</v>
      </c>
      <c r="O12" s="8"/>
      <c r="P12" s="10">
        <f t="shared" si="0"/>
        <v>11.738229932454935</v>
      </c>
      <c r="Q12" s="8">
        <f t="shared" si="1"/>
        <v>10.437637654836392</v>
      </c>
    </row>
    <row r="13" spans="1:18">
      <c r="A13">
        <v>1137194</v>
      </c>
      <c r="B13">
        <v>2016</v>
      </c>
      <c r="C13" s="3"/>
      <c r="D13" s="21">
        <f>(transportation!S12)/1000000</f>
        <v>3.6789870769999999</v>
      </c>
      <c r="E13" s="8">
        <f>transportation!T12</f>
        <v>3.2351446428665644</v>
      </c>
      <c r="F13" s="8"/>
      <c r="G13" s="10">
        <f>(total!K12)/1000000</f>
        <v>2.363423941850435</v>
      </c>
      <c r="H13" s="8">
        <f>total!L12</f>
        <v>2.078294417531604</v>
      </c>
      <c r="I13" s="3"/>
      <c r="J13" s="10">
        <f>(total!O12)/1000000</f>
        <v>6.0214019687000002</v>
      </c>
      <c r="K13" s="8">
        <f>total!P12</f>
        <v>5.2949645959264648</v>
      </c>
      <c r="M13" s="20">
        <f>(total!S12)/1000000</f>
        <v>0.18423457200000001</v>
      </c>
      <c r="N13" s="8">
        <f>total!T12</f>
        <v>0.16200804084439419</v>
      </c>
      <c r="O13" s="8"/>
      <c r="P13" s="10">
        <f t="shared" si="0"/>
        <v>12.248047559550434</v>
      </c>
      <c r="Q13" s="8">
        <f t="shared" si="1"/>
        <v>10.770411697169028</v>
      </c>
    </row>
    <row r="14" spans="1:18">
      <c r="A14">
        <v>1144863</v>
      </c>
      <c r="B14">
        <v>2017</v>
      </c>
      <c r="C14" s="3"/>
      <c r="D14" s="21">
        <f>(transportation!S13)/1000000</f>
        <v>3.6819539300000002</v>
      </c>
      <c r="E14" s="8">
        <f>transportation!T13</f>
        <v>3.2160650925045182</v>
      </c>
      <c r="F14" s="8"/>
      <c r="G14" s="10">
        <f>(total!K13)/1000000</f>
        <v>2.0792181697415404</v>
      </c>
      <c r="H14" s="8">
        <f>total!L13</f>
        <v>1.8161283662250769</v>
      </c>
      <c r="I14" s="3"/>
      <c r="J14" s="10">
        <f>(total!O13)/1000000</f>
        <v>5.9249348879000001</v>
      </c>
      <c r="K14" s="8">
        <f>total!P13</f>
        <v>5.1752348428589272</v>
      </c>
      <c r="M14" s="20">
        <f>(total!S13)/1000000</f>
        <v>0.19230712799999997</v>
      </c>
      <c r="N14" s="8">
        <f>total!T13</f>
        <v>0.16797392177055243</v>
      </c>
      <c r="O14" s="8"/>
      <c r="P14" s="10">
        <f t="shared" si="0"/>
        <v>11.87841411564154</v>
      </c>
      <c r="Q14" s="8">
        <f t="shared" si="1"/>
        <v>10.375402223359075</v>
      </c>
    </row>
    <row r="15" spans="1:18">
      <c r="A15">
        <v>1150215</v>
      </c>
      <c r="B15">
        <v>2018</v>
      </c>
      <c r="C15" s="7"/>
      <c r="D15" s="21">
        <f>(transportation!S14)/1000000</f>
        <v>3.4574129</v>
      </c>
      <c r="E15" s="8">
        <f>transportation!T14</f>
        <v>3.0058840303769294</v>
      </c>
      <c r="F15" s="8"/>
      <c r="G15" s="10">
        <f>(total!K14)/1000000</f>
        <v>1.9280519584760605</v>
      </c>
      <c r="H15" s="8">
        <f>total!L14</f>
        <v>1.6762535338837179</v>
      </c>
      <c r="I15" s="3"/>
      <c r="J15" s="10">
        <f>(total!O14)/1000000</f>
        <v>5.9579639102000002</v>
      </c>
      <c r="K15" s="8">
        <f>total!P14</f>
        <v>5.1798697723469092</v>
      </c>
      <c r="M15" s="20">
        <f>(total!S14)/1000000</f>
        <v>0.21021312719999999</v>
      </c>
      <c r="N15" s="8">
        <f>total!T14</f>
        <v>0.1827598555052751</v>
      </c>
      <c r="O15" s="8"/>
      <c r="P15" s="10">
        <f t="shared" si="0"/>
        <v>11.55364189587606</v>
      </c>
      <c r="Q15" s="8">
        <f t="shared" si="1"/>
        <v>10.044767192112831</v>
      </c>
    </row>
    <row r="16" spans="1:18">
      <c r="A16">
        <f>total!A15</f>
        <v>1153526</v>
      </c>
      <c r="B16" s="2">
        <v>2019</v>
      </c>
      <c r="C16" s="7"/>
      <c r="D16" s="21">
        <f>(transportation!S15)/1000000</f>
        <v>3.6237862580000009</v>
      </c>
      <c r="E16" s="8">
        <f>transportation!T15</f>
        <v>3.1414864146971988</v>
      </c>
      <c r="F16" s="8"/>
      <c r="G16" s="10">
        <f>(total!K15)/1000000</f>
        <v>1.6146651131940537</v>
      </c>
      <c r="H16" s="8">
        <f>total!L15</f>
        <v>1.3997648195134342</v>
      </c>
      <c r="I16" s="3"/>
      <c r="J16" s="10">
        <f>(total!O15)/1000000</f>
        <v>6.3867396713</v>
      </c>
      <c r="K16" s="8">
        <f>total!P15</f>
        <v>5.5367106344373678</v>
      </c>
      <c r="M16" s="20">
        <f>(total!S15)/1000000</f>
        <v>0.19068456</v>
      </c>
      <c r="N16" s="8">
        <f>total!T15</f>
        <v>0.16530581885453818</v>
      </c>
      <c r="O16" s="8"/>
      <c r="P16" s="10">
        <f t="shared" si="0"/>
        <v>11.815875602494055</v>
      </c>
      <c r="Q16" s="8">
        <f t="shared" si="1"/>
        <v>10.243267687502538</v>
      </c>
    </row>
    <row r="17" spans="1:17">
      <c r="A17" t="s">
        <v>6</v>
      </c>
      <c r="C17" s="3"/>
      <c r="D17" s="21"/>
      <c r="E17" s="8"/>
      <c r="F17" s="8"/>
      <c r="G17" s="10"/>
      <c r="H17" s="8"/>
      <c r="I17" s="3"/>
      <c r="J17" s="10"/>
      <c r="K17" s="8"/>
      <c r="M17" s="20"/>
      <c r="N17" s="8"/>
      <c r="P17" s="10"/>
      <c r="Q17" s="8"/>
    </row>
    <row r="18" spans="1:17">
      <c r="A18">
        <v>260435</v>
      </c>
      <c r="B18" s="2">
        <v>2014</v>
      </c>
      <c r="C18" s="5"/>
      <c r="D18" s="21">
        <f>(transportation!S17)/1000000</f>
        <v>0.61424342499999995</v>
      </c>
      <c r="E18" s="8">
        <f>transportation!T17</f>
        <v>2.3585287115787046</v>
      </c>
      <c r="F18" s="8"/>
      <c r="G18" s="10">
        <f>(total!K17)/1000000</f>
        <v>0.23258253183168681</v>
      </c>
      <c r="H18" s="8">
        <f>total!L17</f>
        <v>0.89305405122847092</v>
      </c>
      <c r="I18" s="3"/>
      <c r="J18" s="10">
        <f>(total!O17)/1000000</f>
        <v>0.33312126040000001</v>
      </c>
      <c r="K18" s="8">
        <f>total!P17</f>
        <v>1.2790955916063511</v>
      </c>
      <c r="M18" s="20">
        <f>(total!S17)/1000000</f>
        <v>4.2485354399999994E-2</v>
      </c>
      <c r="N18" s="8">
        <f>total!T17</f>
        <v>0.16313227638374256</v>
      </c>
      <c r="O18" s="8"/>
      <c r="P18" s="10">
        <f t="shared" si="0"/>
        <v>1.2224325716316866</v>
      </c>
      <c r="Q18" s="8">
        <f t="shared" si="1"/>
        <v>4.6938106307972696</v>
      </c>
    </row>
    <row r="19" spans="1:17">
      <c r="A19">
        <v>261016</v>
      </c>
      <c r="B19" s="2">
        <v>2015</v>
      </c>
      <c r="C19" s="5"/>
      <c r="D19" s="21">
        <f>(transportation!S18)/1000000</f>
        <v>0.86534960999999999</v>
      </c>
      <c r="E19" s="8">
        <f>transportation!T18</f>
        <v>3.3153125095779568</v>
      </c>
      <c r="F19" s="8"/>
      <c r="G19" s="10">
        <f>(total!K18)/1000000</f>
        <v>0.23090002778507934</v>
      </c>
      <c r="H19" s="8">
        <f>total!L18</f>
        <v>0.88462020636696348</v>
      </c>
      <c r="I19" s="3"/>
      <c r="J19" s="10">
        <f>(total!O18)/1000000</f>
        <v>0.33506088020000002</v>
      </c>
      <c r="K19" s="8">
        <f>total!P18</f>
        <v>1.2836794686915745</v>
      </c>
      <c r="M19" s="20">
        <f>(total!S18)/1000000</f>
        <v>4.5145543199999999E-2</v>
      </c>
      <c r="N19" s="8">
        <f>total!T18</f>
        <v>0.17296082692248752</v>
      </c>
      <c r="O19" s="8"/>
      <c r="P19" s="10">
        <f t="shared" si="0"/>
        <v>1.4764560611850792</v>
      </c>
      <c r="Q19" s="8">
        <f t="shared" si="1"/>
        <v>5.6565730115589821</v>
      </c>
    </row>
    <row r="20" spans="1:17">
      <c r="A20">
        <v>260633</v>
      </c>
      <c r="B20" s="2">
        <v>2016</v>
      </c>
      <c r="C20" s="5"/>
      <c r="D20" s="21">
        <f>(transportation!S19)/1000000</f>
        <v>0.85179299400000008</v>
      </c>
      <c r="E20" s="8">
        <f>transportation!T19</f>
        <v>3.2681701626424897</v>
      </c>
      <c r="F20" s="8"/>
      <c r="G20" s="10">
        <f>(total!K19)/1000000</f>
        <v>0.19740398618639723</v>
      </c>
      <c r="H20" s="8">
        <f>total!L19</f>
        <v>0.75740211786840972</v>
      </c>
      <c r="I20" s="3"/>
      <c r="J20" s="10">
        <f>(total!O19)/1000000</f>
        <v>0.35144684250000002</v>
      </c>
      <c r="K20" s="8">
        <f>total!P19</f>
        <v>1.3484357026930589</v>
      </c>
      <c r="M20" s="20">
        <f>(total!S19)/1000000</f>
        <v>5.3537088000000004E-2</v>
      </c>
      <c r="N20" s="8">
        <f>total!T19</f>
        <v>0.2054117782475742</v>
      </c>
      <c r="O20" s="8"/>
      <c r="P20" s="10">
        <f t="shared" si="0"/>
        <v>1.4541809106863972</v>
      </c>
      <c r="Q20" s="8">
        <f t="shared" si="1"/>
        <v>5.5794197614515326</v>
      </c>
    </row>
    <row r="21" spans="1:17">
      <c r="A21">
        <v>259725</v>
      </c>
      <c r="B21" s="2">
        <v>2017</v>
      </c>
      <c r="C21" s="5"/>
      <c r="D21" s="21">
        <f>(transportation!S20)/1000000</f>
        <v>0.84284924700000008</v>
      </c>
      <c r="E21" s="8">
        <f>transportation!T20</f>
        <v>3.2451602541149298</v>
      </c>
      <c r="F21" s="8"/>
      <c r="G21" s="10">
        <f>(total!K20)/1000000</f>
        <v>0.12979698580005236</v>
      </c>
      <c r="H21" s="8">
        <f>total!L20</f>
        <v>0.49974775551083783</v>
      </c>
      <c r="I21" s="3"/>
      <c r="J21" s="10">
        <f>(total!O20)/1000000</f>
        <v>0.37254476980000001</v>
      </c>
      <c r="K21" s="8">
        <f>total!P20</f>
        <v>1.4343816336509769</v>
      </c>
      <c r="M21" s="20">
        <f>(total!S20)/1000000</f>
        <v>5.55988512E-2</v>
      </c>
      <c r="N21" s="8">
        <f>total!T20</f>
        <v>0.2140681536240254</v>
      </c>
      <c r="O21" s="8"/>
      <c r="P21" s="10">
        <f t="shared" si="0"/>
        <v>1.4007898538000525</v>
      </c>
      <c r="Q21" s="8">
        <f t="shared" si="1"/>
        <v>5.3933577969007702</v>
      </c>
    </row>
    <row r="22" spans="1:17">
      <c r="A22">
        <v>259666</v>
      </c>
      <c r="B22">
        <v>2018</v>
      </c>
      <c r="C22" s="7"/>
      <c r="D22" s="21">
        <f>(transportation!S21)/1000000</f>
        <v>0.68075069999999993</v>
      </c>
      <c r="E22" s="8">
        <f>transportation!T21</f>
        <v>2.6216397217964613</v>
      </c>
      <c r="F22" s="8"/>
      <c r="G22" s="10">
        <f>(total!K21)/1000000</f>
        <v>0.1252899472374891</v>
      </c>
      <c r="H22" s="8">
        <f>total!L21</f>
        <v>0.48250424482792936</v>
      </c>
      <c r="I22" s="3"/>
      <c r="J22" s="10">
        <f>(total!O21)/1000000</f>
        <v>0.36323689390000002</v>
      </c>
      <c r="K22" s="8">
        <f>total!P21</f>
        <v>1.3988619761539824</v>
      </c>
      <c r="M22" s="20">
        <f>(total!S21)/1000000</f>
        <v>6.0111770399999993E-2</v>
      </c>
      <c r="N22" s="8">
        <f>total!T21</f>
        <v>0.2314965008896043</v>
      </c>
      <c r="O22" s="8"/>
      <c r="P22" s="10">
        <f t="shared" si="0"/>
        <v>1.2293893115374892</v>
      </c>
      <c r="Q22" s="8">
        <f t="shared" si="1"/>
        <v>4.7345024436679779</v>
      </c>
    </row>
    <row r="23" spans="1:17">
      <c r="A23">
        <f>total!A22</f>
        <v>258826</v>
      </c>
      <c r="B23" s="2">
        <v>2019</v>
      </c>
      <c r="C23" s="7"/>
      <c r="D23" s="21">
        <f>(transportation!S22)/1000000</f>
        <v>0.79930942400000005</v>
      </c>
      <c r="E23" s="8">
        <f>transportation!T22</f>
        <v>3.0882114779813463</v>
      </c>
      <c r="F23" s="8"/>
      <c r="G23" s="10">
        <f>(total!K22)/1000000</f>
        <v>9.4855345755337647E-2</v>
      </c>
      <c r="H23" s="8">
        <f>total!L22</f>
        <v>0.36648306489818505</v>
      </c>
      <c r="I23" s="3"/>
      <c r="J23" s="10">
        <f>(total!O22)/1000000</f>
        <v>0.3725398567</v>
      </c>
      <c r="K23" s="8">
        <f>total!P22</f>
        <v>1.439344798049655</v>
      </c>
      <c r="M23" s="20">
        <f>(total!S22)/1000000</f>
        <v>5.7900960000000001E-2</v>
      </c>
      <c r="N23" s="8">
        <f>total!T22</f>
        <v>0.22370611916886249</v>
      </c>
      <c r="O23" s="8"/>
      <c r="P23" s="10">
        <f t="shared" si="0"/>
        <v>1.3246055864553377</v>
      </c>
      <c r="Q23" s="8">
        <f t="shared" si="1"/>
        <v>5.1177454600980488</v>
      </c>
    </row>
    <row r="24" spans="1:17">
      <c r="A24" t="s">
        <v>7</v>
      </c>
      <c r="C24" s="3"/>
      <c r="D24" s="21"/>
      <c r="E24" s="8"/>
      <c r="F24" s="8"/>
      <c r="G24" s="10"/>
      <c r="H24" s="8"/>
      <c r="I24" s="3"/>
      <c r="J24" s="10"/>
      <c r="K24" s="8"/>
      <c r="M24" s="20"/>
      <c r="N24" s="8"/>
      <c r="P24" s="10"/>
      <c r="Q24" s="8"/>
    </row>
    <row r="25" spans="1:17">
      <c r="A25">
        <v>140567</v>
      </c>
      <c r="B25" s="2">
        <v>2014</v>
      </c>
      <c r="C25" s="5"/>
      <c r="D25" s="21">
        <f>(transportation!S24)/1000000</f>
        <v>0.33806244900000004</v>
      </c>
      <c r="E25" s="8">
        <f>transportation!T24</f>
        <v>2.4049915627423224</v>
      </c>
      <c r="F25" s="8"/>
      <c r="G25" s="10">
        <f>(total!K24)/1000000</f>
        <v>0.22295534551519372</v>
      </c>
      <c r="H25" s="8">
        <f>total!L24</f>
        <v>1.5861144188550207</v>
      </c>
      <c r="I25" s="3"/>
      <c r="J25" s="10">
        <f>(total!O24)/1000000</f>
        <v>0.18536726149999999</v>
      </c>
      <c r="K25" s="8">
        <f>total!P24</f>
        <v>1.3187110879509414</v>
      </c>
      <c r="M25" s="20">
        <f>(total!S24)/1000000</f>
        <v>2.89194576E-2</v>
      </c>
      <c r="N25" s="8">
        <f>total!T24</f>
        <v>0.20573433024820906</v>
      </c>
      <c r="O25" s="8"/>
      <c r="P25" s="10">
        <f t="shared" si="0"/>
        <v>0.7753045136151937</v>
      </c>
      <c r="Q25" s="8">
        <f t="shared" si="1"/>
        <v>5.5155513997964931</v>
      </c>
    </row>
    <row r="26" spans="1:17">
      <c r="A26">
        <v>141096</v>
      </c>
      <c r="B26" s="2">
        <v>2015</v>
      </c>
      <c r="C26" s="5"/>
      <c r="D26" s="21">
        <f>(transportation!S25)/1000000</f>
        <v>0.57582481800000007</v>
      </c>
      <c r="E26" s="8">
        <f>transportation!T25</f>
        <v>4.0810853461473044</v>
      </c>
      <c r="F26" s="8"/>
      <c r="G26" s="10">
        <f>(total!K25)/1000000</f>
        <v>0.20251829368198321</v>
      </c>
      <c r="H26" s="8">
        <f>total!L25</f>
        <v>1.4353227141944718</v>
      </c>
      <c r="I26" s="3"/>
      <c r="J26" s="10">
        <f>(total!O25)/1000000</f>
        <v>0.1838434903</v>
      </c>
      <c r="K26" s="8">
        <f>total!P25</f>
        <v>1.3029674143845325</v>
      </c>
      <c r="M26" s="20">
        <f>(total!S25)/1000000</f>
        <v>2.9822088E-2</v>
      </c>
      <c r="N26" s="8">
        <f>total!T25</f>
        <v>0.21136026535125021</v>
      </c>
      <c r="O26" s="8"/>
      <c r="P26" s="10">
        <f t="shared" si="0"/>
        <v>0.99200868998198322</v>
      </c>
      <c r="Q26" s="8">
        <f t="shared" si="1"/>
        <v>7.0307357400775592</v>
      </c>
    </row>
    <row r="27" spans="1:17">
      <c r="A27">
        <v>141185</v>
      </c>
      <c r="B27" s="2">
        <v>2016</v>
      </c>
      <c r="C27" s="5"/>
      <c r="D27" s="21">
        <f>(transportation!S26)/1000000</f>
        <v>0.51776451899999998</v>
      </c>
      <c r="E27" s="8">
        <f>transportation!T26</f>
        <v>3.6672771115911744</v>
      </c>
      <c r="F27" s="8"/>
      <c r="G27" s="10">
        <f>(total!K26)/1000000</f>
        <v>0.16455405407289142</v>
      </c>
      <c r="H27" s="8">
        <f>total!L26</f>
        <v>1.165520799468013</v>
      </c>
      <c r="I27" s="3"/>
      <c r="J27" s="10">
        <f>(total!O26)/1000000</f>
        <v>0.19336260299999999</v>
      </c>
      <c r="K27" s="8">
        <f>total!P26</f>
        <v>1.3695690264546516</v>
      </c>
      <c r="M27" s="20">
        <f>(total!S26)/1000000</f>
        <v>3.1043121599999998E-2</v>
      </c>
      <c r="N27" s="8">
        <f>total!T26</f>
        <v>0.21987549385557956</v>
      </c>
      <c r="O27" s="8"/>
      <c r="P27" s="10">
        <f t="shared" si="0"/>
        <v>0.90672429767289131</v>
      </c>
      <c r="Q27" s="8">
        <f t="shared" si="1"/>
        <v>6.4222424313694182</v>
      </c>
    </row>
    <row r="28" spans="1:17">
      <c r="A28">
        <v>140386</v>
      </c>
      <c r="B28" s="2">
        <v>2017</v>
      </c>
      <c r="C28" s="5"/>
      <c r="D28" s="21">
        <f>(transportation!S27)/1000000</f>
        <v>0.48409679100000003</v>
      </c>
      <c r="E28" s="8">
        <f>transportation!T27</f>
        <v>3.4483266921202973</v>
      </c>
      <c r="F28" s="8"/>
      <c r="G28" s="10">
        <f>(total!K27)/1000000</f>
        <v>9.67649833165041E-2</v>
      </c>
      <c r="H28" s="8">
        <f>total!L27</f>
        <v>0.68927801430701141</v>
      </c>
      <c r="I28" s="3"/>
      <c r="J28" s="10">
        <f>(total!O27)/1000000</f>
        <v>0.206323541</v>
      </c>
      <c r="K28" s="8">
        <f>total!P27</f>
        <v>1.4696874403430542</v>
      </c>
      <c r="M28" s="20">
        <f>(total!S27)/1000000</f>
        <v>4.5184814399999995E-2</v>
      </c>
      <c r="N28" s="8">
        <f>total!T27</f>
        <v>0.32186125682048067</v>
      </c>
      <c r="O28" s="8"/>
      <c r="P28" s="10">
        <f t="shared" si="0"/>
        <v>0.83237012971650404</v>
      </c>
      <c r="Q28" s="8">
        <f t="shared" si="1"/>
        <v>5.9291534035908438</v>
      </c>
    </row>
    <row r="29" spans="1:17">
      <c r="A29">
        <v>139417</v>
      </c>
      <c r="B29">
        <v>2018</v>
      </c>
      <c r="C29" s="7"/>
      <c r="D29" s="21">
        <f>(transportation!S28)/1000000</f>
        <v>0.54597319999999994</v>
      </c>
      <c r="E29" s="8">
        <f>transportation!T28</f>
        <v>3.9161163990044252</v>
      </c>
      <c r="F29" s="8"/>
      <c r="G29" s="10">
        <f>(total!K28)/1000000</f>
        <v>0.10448712215300841</v>
      </c>
      <c r="H29" s="8">
        <f>total!L28</f>
        <v>0.74945754214341442</v>
      </c>
      <c r="I29" s="3"/>
      <c r="J29" s="10">
        <f>(total!O28)/1000000</f>
        <v>0.208822491</v>
      </c>
      <c r="K29" s="8">
        <f>total!P28</f>
        <v>1.4978265993386748</v>
      </c>
      <c r="M29" s="20">
        <f>(total!S28)/1000000</f>
        <v>5.5553315999999998E-2</v>
      </c>
      <c r="N29" s="8">
        <f>total!T28</f>
        <v>0.39846873767187646</v>
      </c>
      <c r="O29" s="8"/>
      <c r="P29" s="10">
        <f t="shared" si="0"/>
        <v>0.91483612915300838</v>
      </c>
      <c r="Q29" s="8">
        <f t="shared" si="1"/>
        <v>6.5618692781583912</v>
      </c>
    </row>
    <row r="30" spans="1:17">
      <c r="A30">
        <f>total!A29</f>
        <v>137744</v>
      </c>
      <c r="B30" s="2">
        <v>2019</v>
      </c>
      <c r="C30" s="7"/>
      <c r="D30" s="21">
        <f>(transportation!S29)/1000000</f>
        <v>0.50900727800000001</v>
      </c>
      <c r="E30" s="8">
        <f>transportation!T29</f>
        <v>3.6953136107561857</v>
      </c>
      <c r="F30" s="8"/>
      <c r="G30" s="10">
        <f>(total!K29)/1000000</f>
        <v>8.2454443566160648E-2</v>
      </c>
      <c r="H30" s="8">
        <f>total!L29</f>
        <v>0.59860642616854931</v>
      </c>
      <c r="I30" s="3"/>
      <c r="J30" s="10">
        <f>(total!O29)/1000000</f>
        <v>0.21055628000000001</v>
      </c>
      <c r="K30" s="8">
        <f>total!P29</f>
        <v>1.5286058194912302</v>
      </c>
      <c r="M30" s="20">
        <f>(total!S29)/1000000</f>
        <v>4.3366799999999997E-2</v>
      </c>
      <c r="N30" s="8">
        <f>total!T29</f>
        <v>0.31483621791148797</v>
      </c>
      <c r="O30" s="8"/>
      <c r="P30" s="10">
        <f t="shared" si="0"/>
        <v>0.84538480156616069</v>
      </c>
      <c r="Q30" s="8">
        <f t="shared" si="1"/>
        <v>6.1373620743274531</v>
      </c>
    </row>
    <row r="31" spans="1:17">
      <c r="A31" t="s">
        <v>8</v>
      </c>
      <c r="C31" s="3"/>
      <c r="D31" s="21"/>
      <c r="E31" s="8"/>
      <c r="F31" s="8"/>
      <c r="G31" s="10"/>
      <c r="H31" s="8"/>
      <c r="I31" s="3"/>
      <c r="J31" s="10"/>
      <c r="K31" s="8"/>
      <c r="M31" s="20"/>
      <c r="N31" s="8"/>
      <c r="P31" s="10"/>
      <c r="Q31" s="8"/>
    </row>
    <row r="32" spans="1:17">
      <c r="A32">
        <v>851116</v>
      </c>
      <c r="B32" s="2">
        <v>2014</v>
      </c>
      <c r="C32" s="5"/>
      <c r="D32" s="21">
        <f>(transportation!S31)/1000000</f>
        <v>0.82851788200000009</v>
      </c>
      <c r="E32" s="8">
        <f>transportation!T31</f>
        <v>0.97344883893617329</v>
      </c>
      <c r="F32" s="8"/>
      <c r="G32" s="10">
        <f>(total!K31)/1000000</f>
        <v>1.4001297194400286</v>
      </c>
      <c r="H32" s="8">
        <f>total!L31</f>
        <v>1.6450515786802604</v>
      </c>
      <c r="I32" s="3"/>
      <c r="J32" s="10">
        <f>(total!O31)/1000000</f>
        <v>1.1657407610999999</v>
      </c>
      <c r="K32" s="8">
        <f>total!P31</f>
        <v>1.3696614340465929</v>
      </c>
      <c r="M32" s="20">
        <f>(total!S31)/1000000</f>
        <v>0.12707382480000001</v>
      </c>
      <c r="N32" s="8">
        <f>total!T31</f>
        <v>0.14930259189111708</v>
      </c>
      <c r="O32" s="8"/>
      <c r="P32" s="10">
        <f t="shared" si="0"/>
        <v>3.5214621873400289</v>
      </c>
      <c r="Q32" s="8">
        <f t="shared" si="1"/>
        <v>4.1374644435541441</v>
      </c>
    </row>
    <row r="33" spans="1:17">
      <c r="A33">
        <v>863836</v>
      </c>
      <c r="B33" s="2">
        <v>2015</v>
      </c>
      <c r="C33" s="5"/>
      <c r="D33" s="21">
        <f>(transportation!S32)/1000000</f>
        <v>1.124179244</v>
      </c>
      <c r="E33" s="8">
        <f>transportation!T32</f>
        <v>1.3013804055399405</v>
      </c>
      <c r="F33" s="8"/>
      <c r="G33" s="10">
        <f>(total!K32)/1000000</f>
        <v>1.3407129229974526</v>
      </c>
      <c r="H33" s="8">
        <f>total!L32</f>
        <v>1.5520456695454374</v>
      </c>
      <c r="I33" s="3"/>
      <c r="J33" s="10">
        <f>(total!O32)/1000000</f>
        <v>1.1329561164999999</v>
      </c>
      <c r="K33" s="8">
        <f>total!P32</f>
        <v>1.311540751369473</v>
      </c>
      <c r="M33" s="20">
        <f>(total!S32)/1000000</f>
        <v>0.141624</v>
      </c>
      <c r="N33" s="8">
        <f>total!T32</f>
        <v>0.16394778638537871</v>
      </c>
      <c r="O33" s="8"/>
      <c r="P33" s="10">
        <f t="shared" si="0"/>
        <v>3.7394722834974528</v>
      </c>
      <c r="Q33" s="8">
        <f t="shared" si="1"/>
        <v>4.3289146128402294</v>
      </c>
    </row>
    <row r="34" spans="1:17">
      <c r="A34">
        <v>872795</v>
      </c>
      <c r="B34" s="2">
        <v>2016</v>
      </c>
      <c r="C34" s="5"/>
      <c r="D34" s="21">
        <f>(transportation!S33)/1000000</f>
        <v>1.1255529379999998</v>
      </c>
      <c r="E34" s="8">
        <f>transportation!T33</f>
        <v>1.2895959967690005</v>
      </c>
      <c r="F34" s="8"/>
      <c r="G34" s="10">
        <f>(total!K33)/1000000</f>
        <v>1.0777865286856316</v>
      </c>
      <c r="H34" s="8">
        <f>total!L33</f>
        <v>1.2348678998913052</v>
      </c>
      <c r="I34" s="3"/>
      <c r="J34" s="10">
        <f>(total!O33)/1000000</f>
        <v>1.2020221761000001</v>
      </c>
      <c r="K34" s="8">
        <f>total!P33</f>
        <v>1.3772101995313906</v>
      </c>
      <c r="M34" s="20">
        <f>(total!S33)/1000000</f>
        <v>0.14405555759999999</v>
      </c>
      <c r="N34" s="8">
        <f>total!T33</f>
        <v>0.16505085111624149</v>
      </c>
      <c r="O34" s="8"/>
      <c r="P34" s="10">
        <f t="shared" si="0"/>
        <v>3.5494172003856308</v>
      </c>
      <c r="Q34" s="8">
        <f t="shared" si="1"/>
        <v>4.0667249473079377</v>
      </c>
    </row>
    <row r="35" spans="1:17">
      <c r="A35">
        <v>879166</v>
      </c>
      <c r="B35" s="2">
        <v>2017</v>
      </c>
      <c r="C35" s="5"/>
      <c r="D35" s="21">
        <f>(transportation!S34)/1000000</f>
        <v>1.124148098</v>
      </c>
      <c r="E35" s="8">
        <f>transportation!T34</f>
        <v>1.2786528346182633</v>
      </c>
      <c r="F35" s="8"/>
      <c r="G35" s="10">
        <f>(total!K34)/1000000</f>
        <v>0.85958174851129576</v>
      </c>
      <c r="H35" s="8">
        <f>total!L34</f>
        <v>0.97772405724436084</v>
      </c>
      <c r="I35" s="3"/>
      <c r="J35" s="10">
        <f>(total!O34)/1000000</f>
        <v>1.2187713633000001</v>
      </c>
      <c r="K35" s="8">
        <f>total!P34</f>
        <v>1.3862812748673174</v>
      </c>
      <c r="M35" s="20">
        <f>(total!S34)/1000000</f>
        <v>0.15047929200000001</v>
      </c>
      <c r="N35" s="8">
        <f>total!T34</f>
        <v>0.17116140979064251</v>
      </c>
      <c r="O35" s="8"/>
      <c r="P35" s="10">
        <f t="shared" si="0"/>
        <v>3.3529805018112961</v>
      </c>
      <c r="Q35" s="8">
        <f t="shared" si="1"/>
        <v>3.8138195765205842</v>
      </c>
    </row>
    <row r="36" spans="1:17">
      <c r="A36">
        <v>883305</v>
      </c>
      <c r="B36">
        <v>2018</v>
      </c>
      <c r="C36" s="7"/>
      <c r="D36" s="21">
        <f>(transportation!S35)/1000000</f>
        <v>1.0012795000000001</v>
      </c>
      <c r="E36" s="8">
        <f>transportation!T35</f>
        <v>1.1335603217461692</v>
      </c>
      <c r="F36" s="8"/>
      <c r="G36" s="10">
        <f>(total!K35)/1000000</f>
        <v>0.83082127811875028</v>
      </c>
      <c r="H36" s="8">
        <f>total!L35</f>
        <v>0.94058255995239504</v>
      </c>
      <c r="I36" s="3"/>
      <c r="J36" s="10">
        <f>(total!O35)/1000000</f>
        <v>1.2085565301999999</v>
      </c>
      <c r="K36" s="8">
        <f>total!P35</f>
        <v>1.3682210903368597</v>
      </c>
      <c r="M36" s="20">
        <f>(total!S35)/1000000</f>
        <v>0.1775258136</v>
      </c>
      <c r="N36" s="8">
        <f>total!T35</f>
        <v>0.20097906566814405</v>
      </c>
      <c r="O36" s="8"/>
      <c r="P36" s="10">
        <f t="shared" si="0"/>
        <v>3.2181831219187504</v>
      </c>
      <c r="Q36" s="8">
        <f t="shared" si="1"/>
        <v>3.643343037703568</v>
      </c>
    </row>
    <row r="37" spans="1:17">
      <c r="A37">
        <f>total!A36</f>
        <v>874961</v>
      </c>
      <c r="B37" s="2">
        <v>2019</v>
      </c>
      <c r="C37" s="7"/>
      <c r="D37" s="21">
        <f>(transportation!S36)/1000000</f>
        <v>0.9831046320000002</v>
      </c>
      <c r="E37" s="8">
        <f>transportation!T36</f>
        <v>1.1235982312354496</v>
      </c>
      <c r="F37" s="8"/>
      <c r="G37" s="10">
        <f>(total!K36)/1000000</f>
        <v>0.52070543472537612</v>
      </c>
      <c r="H37" s="8">
        <f>total!L36</f>
        <v>0.59511845067994584</v>
      </c>
      <c r="I37" s="3"/>
      <c r="J37" s="10">
        <f>(total!O36)/1000000</f>
        <v>1.2162382601000001</v>
      </c>
      <c r="K37" s="8">
        <f>total!P36</f>
        <v>1.3900485394206143</v>
      </c>
      <c r="M37" s="20">
        <f>(total!S36)/1000000</f>
        <v>0.17112240000000001</v>
      </c>
      <c r="N37" s="8">
        <f>total!T36</f>
        <v>0.19557717429691152</v>
      </c>
      <c r="O37" s="8"/>
      <c r="P37" s="10">
        <f t="shared" si="0"/>
        <v>2.8911707268253766</v>
      </c>
      <c r="Q37" s="8">
        <f t="shared" si="1"/>
        <v>3.3043423956329216</v>
      </c>
    </row>
    <row r="38" spans="1:17">
      <c r="A38" t="s">
        <v>9</v>
      </c>
      <c r="C38" s="3"/>
      <c r="D38" s="21"/>
      <c r="E38" s="8"/>
      <c r="F38" s="8"/>
      <c r="G38" s="10"/>
      <c r="H38" s="8"/>
      <c r="I38" s="3"/>
      <c r="J38" s="10"/>
      <c r="K38" s="8"/>
      <c r="M38" s="20"/>
      <c r="N38" s="8"/>
      <c r="P38" s="10"/>
      <c r="Q38" s="8"/>
    </row>
    <row r="39" spans="1:17">
      <c r="A39">
        <v>757670</v>
      </c>
      <c r="B39" s="2">
        <v>2014</v>
      </c>
      <c r="C39" s="5"/>
      <c r="D39" s="21">
        <f>(transportation!S38)/1000000</f>
        <v>1.8744746390000002</v>
      </c>
      <c r="E39" s="8">
        <f>transportation!T38</f>
        <v>2.4739987580345009</v>
      </c>
      <c r="F39" s="8"/>
      <c r="G39" s="10">
        <f>(total!K38)/1000000</f>
        <v>0.90912549200964521</v>
      </c>
      <c r="H39" s="8">
        <f>total!L38</f>
        <v>1.1998963823427682</v>
      </c>
      <c r="I39" s="3"/>
      <c r="J39" s="10">
        <f>(total!O38)/1000000</f>
        <v>1.0214739926</v>
      </c>
      <c r="K39" s="8">
        <f>total!P38</f>
        <v>1.3481779568941623</v>
      </c>
      <c r="M39" s="20">
        <f>(total!S38)/1000000</f>
        <v>0.13215913200000001</v>
      </c>
      <c r="N39" s="8">
        <f>total!T38</f>
        <v>0.17442835535259416</v>
      </c>
      <c r="O39" s="8"/>
      <c r="P39" s="10">
        <f t="shared" si="0"/>
        <v>3.9372332556096454</v>
      </c>
      <c r="Q39" s="8">
        <f t="shared" si="1"/>
        <v>5.196501452624025</v>
      </c>
    </row>
    <row r="40" spans="1:17">
      <c r="A40">
        <v>765447</v>
      </c>
      <c r="B40" s="2">
        <v>2015</v>
      </c>
      <c r="C40" s="5"/>
      <c r="D40" s="21">
        <f>(transportation!S39)/1000000</f>
        <v>2.5995776440000005</v>
      </c>
      <c r="E40" s="8">
        <f>transportation!T39</f>
        <v>3.3961562903767346</v>
      </c>
      <c r="F40" s="8"/>
      <c r="G40" s="10">
        <f>(total!K39)/1000000</f>
        <v>0.84984730948617215</v>
      </c>
      <c r="H40" s="8">
        <f>total!L39</f>
        <v>1.1102627738905138</v>
      </c>
      <c r="I40" s="3"/>
      <c r="J40" s="10">
        <f>(total!O39)/1000000</f>
        <v>1.0276727772000001</v>
      </c>
      <c r="K40" s="8">
        <f>total!P39</f>
        <v>1.3425786203355687</v>
      </c>
      <c r="M40" s="20">
        <f>(total!S39)/1000000</f>
        <v>0.140157528</v>
      </c>
      <c r="N40" s="8">
        <f>total!T39</f>
        <v>0.18310546386621149</v>
      </c>
      <c r="O40" s="8"/>
      <c r="P40" s="10">
        <f t="shared" si="0"/>
        <v>4.6172552586861721</v>
      </c>
      <c r="Q40" s="8">
        <f t="shared" si="1"/>
        <v>6.0321031484690293</v>
      </c>
    </row>
    <row r="41" spans="1:17">
      <c r="A41">
        <v>768204</v>
      </c>
      <c r="B41" s="2">
        <v>2016</v>
      </c>
      <c r="C41" s="5"/>
      <c r="D41" s="21">
        <f>(transportation!S40)/1000000</f>
        <v>2.7250454950000003</v>
      </c>
      <c r="E41" s="8">
        <f>transportation!T40</f>
        <v>3.5472940716268075</v>
      </c>
      <c r="F41" s="8"/>
      <c r="G41" s="10">
        <f>(total!K40)/1000000</f>
        <v>0.60897400924101575</v>
      </c>
      <c r="H41" s="8">
        <f>total!L40</f>
        <v>0.79272434046297047</v>
      </c>
      <c r="I41" s="3"/>
      <c r="J41" s="10">
        <f>(total!O40)/1000000</f>
        <v>1.0585652476</v>
      </c>
      <c r="K41" s="8">
        <f>total!P40</f>
        <v>1.3779741417644273</v>
      </c>
      <c r="M41" s="20">
        <f>(total!S40)/1000000</f>
        <v>0.14329702080000001</v>
      </c>
      <c r="N41" s="8">
        <f>total!T40</f>
        <v>0.18653511411031445</v>
      </c>
      <c r="O41" s="8"/>
      <c r="P41" s="10">
        <f t="shared" si="0"/>
        <v>4.5358817726410168</v>
      </c>
      <c r="Q41" s="8">
        <f t="shared" si="1"/>
        <v>5.90452766796452</v>
      </c>
    </row>
    <row r="42" spans="1:17">
      <c r="A42">
        <v>768808</v>
      </c>
      <c r="B42" s="2">
        <v>2017</v>
      </c>
      <c r="C42" s="5"/>
      <c r="D42" s="21">
        <f>(transportation!S41)/1000000</f>
        <v>2.7553672420000002</v>
      </c>
      <c r="E42" s="8">
        <f>transportation!T41</f>
        <v>3.5839471519547144</v>
      </c>
      <c r="F42" s="8"/>
      <c r="G42" s="10">
        <f>(total!K41)/1000000</f>
        <v>0.38345643771177046</v>
      </c>
      <c r="H42" s="8">
        <f>total!L41</f>
        <v>0.49876749163870626</v>
      </c>
      <c r="I42" s="3"/>
      <c r="J42" s="10">
        <f>(total!O41)/1000000</f>
        <v>1.1196588988</v>
      </c>
      <c r="K42" s="8">
        <f>total!P41</f>
        <v>1.4563569822374378</v>
      </c>
      <c r="M42" s="20">
        <f>(total!S41)/1000000</f>
        <v>0.14697524399999998</v>
      </c>
      <c r="N42" s="8">
        <f>total!T41</f>
        <v>0.19117288581804556</v>
      </c>
      <c r="O42" s="8"/>
      <c r="P42" s="10">
        <f t="shared" si="0"/>
        <v>4.4054578225117709</v>
      </c>
      <c r="Q42" s="8">
        <f t="shared" si="1"/>
        <v>5.7302445116489036</v>
      </c>
    </row>
    <row r="43" spans="1:17">
      <c r="A43">
        <v>769545</v>
      </c>
      <c r="B43">
        <v>2018</v>
      </c>
      <c r="C43" s="7"/>
      <c r="D43" s="21">
        <f>(transportation!S42)/1000000</f>
        <v>2.5725271000000003</v>
      </c>
      <c r="E43" s="8">
        <f>transportation!T42</f>
        <v>3.3429196473240683</v>
      </c>
      <c r="F43" s="8"/>
      <c r="G43" s="10">
        <f>(total!K42)/1000000</f>
        <v>0.37201773829936435</v>
      </c>
      <c r="H43" s="8">
        <f>total!L42</f>
        <v>0.48342558043956407</v>
      </c>
      <c r="I43" s="3"/>
      <c r="J43" s="10">
        <f>(total!O42)/1000000</f>
        <v>1.1112191999999999</v>
      </c>
      <c r="K43" s="8">
        <f>total!P42</f>
        <v>1.4439950880065493</v>
      </c>
      <c r="M43" s="20">
        <f>(total!S42)/1000000</f>
        <v>0.14372163360000001</v>
      </c>
      <c r="N43" s="8">
        <f>total!T42</f>
        <v>0.18676183147184375</v>
      </c>
      <c r="O43" s="8"/>
      <c r="P43" s="10">
        <f t="shared" si="0"/>
        <v>4.1994856718993647</v>
      </c>
      <c r="Q43" s="8">
        <f t="shared" si="1"/>
        <v>5.4571021472420256</v>
      </c>
    </row>
    <row r="44" spans="1:17">
      <c r="A44">
        <f>total!A43</f>
        <v>767423</v>
      </c>
      <c r="B44" s="2">
        <v>2019</v>
      </c>
      <c r="C44" s="7"/>
      <c r="D44" s="21">
        <f>(transportation!S43)/1000000</f>
        <v>2.7225658480000003</v>
      </c>
      <c r="E44" s="8">
        <f>transportation!T43</f>
        <v>3.5476729886907226</v>
      </c>
      <c r="F44" s="8"/>
      <c r="G44" s="10">
        <f>(total!K43)/1000000</f>
        <v>2.7183519381507471E-2</v>
      </c>
      <c r="H44" s="8">
        <f>total!L43</f>
        <v>3.542182001517738E-2</v>
      </c>
      <c r="I44" s="3"/>
      <c r="J44" s="10">
        <f>(total!O43)/1000000</f>
        <v>1.1364781679</v>
      </c>
      <c r="K44" s="8">
        <f>total!P43</f>
        <v>1.4809018857917993</v>
      </c>
      <c r="M44" s="20">
        <f>(total!S43)/1000000</f>
        <v>0.14960904</v>
      </c>
      <c r="N44" s="8">
        <f>total!T43</f>
        <v>0.19494990376884719</v>
      </c>
      <c r="O44" s="8"/>
      <c r="P44" s="10">
        <f t="shared" si="0"/>
        <v>4.0358365752815075</v>
      </c>
      <c r="Q44" s="8">
        <f t="shared" si="1"/>
        <v>5.2589465982665473</v>
      </c>
    </row>
    <row r="45" spans="1:17">
      <c r="A45" t="s">
        <v>10</v>
      </c>
      <c r="C45" s="3"/>
      <c r="D45" s="21"/>
      <c r="E45" s="8"/>
      <c r="F45" s="8"/>
      <c r="G45" s="10"/>
      <c r="H45" s="8"/>
      <c r="I45" s="3"/>
      <c r="J45" s="10"/>
      <c r="K45" s="8"/>
      <c r="M45" s="20"/>
      <c r="N45" s="8"/>
      <c r="P45" s="10"/>
      <c r="Q45" s="8"/>
    </row>
    <row r="46" spans="1:17">
      <c r="A46">
        <v>1892984</v>
      </c>
      <c r="B46" s="2">
        <v>2014</v>
      </c>
      <c r="C46" s="5"/>
      <c r="D46" s="21">
        <f>(transportation!S45)/1000000</f>
        <v>5.5788966510000009</v>
      </c>
      <c r="E46" s="8">
        <f>transportation!T45</f>
        <v>2.9471441126813542</v>
      </c>
      <c r="F46" s="8"/>
      <c r="G46" s="10">
        <f>(total!K45)/1000000</f>
        <v>4.4172672909821777</v>
      </c>
      <c r="H46" s="8">
        <f>total!L45</f>
        <v>2.3334942561491157</v>
      </c>
      <c r="I46" s="3"/>
      <c r="J46" s="10">
        <f>(total!O45)/1000000</f>
        <v>2.1405025518</v>
      </c>
      <c r="K46" s="8">
        <f>total!P45</f>
        <v>1.1307557548294123</v>
      </c>
      <c r="M46" s="20">
        <f>(total!S45)/1000000</f>
        <v>0.29867144880000002</v>
      </c>
      <c r="N46" s="8">
        <f>total!T45</f>
        <v>0.15777811582136986</v>
      </c>
      <c r="O46" s="8"/>
      <c r="P46" s="10">
        <f t="shared" si="0"/>
        <v>12.43533794258218</v>
      </c>
      <c r="Q46" s="8">
        <f t="shared" si="1"/>
        <v>6.5691722394812517</v>
      </c>
    </row>
    <row r="47" spans="1:17">
      <c r="A47">
        <v>1917481</v>
      </c>
      <c r="B47" s="2">
        <v>2015</v>
      </c>
      <c r="C47" s="5"/>
      <c r="D47" s="21">
        <f>(transportation!S46)/1000000</f>
        <v>6.2310210220000002</v>
      </c>
      <c r="E47" s="8">
        <f>transportation!T46</f>
        <v>3.2495868391916267</v>
      </c>
      <c r="F47" s="8"/>
      <c r="G47" s="10">
        <f>(total!K46)/1000000</f>
        <v>4.3093251422123151</v>
      </c>
      <c r="H47" s="8">
        <f>total!L46</f>
        <v>2.247388705396463</v>
      </c>
      <c r="I47" s="3"/>
      <c r="J47" s="10">
        <f>(total!O46)/1000000</f>
        <v>2.1837332950000001</v>
      </c>
      <c r="K47" s="8">
        <f>total!P46</f>
        <v>1.1388552455017806</v>
      </c>
      <c r="M47" s="20">
        <f>(total!S46)/1000000</f>
        <v>0.32042781119999991</v>
      </c>
      <c r="N47" s="8">
        <f>total!T46</f>
        <v>0.16710872816992708</v>
      </c>
      <c r="O47" s="8"/>
      <c r="P47" s="10">
        <f t="shared" si="0"/>
        <v>13.044507270412316</v>
      </c>
      <c r="Q47" s="8">
        <f t="shared" si="1"/>
        <v>6.8029395182597963</v>
      </c>
    </row>
    <row r="48" spans="1:17">
      <c r="A48">
        <v>1929581</v>
      </c>
      <c r="B48" s="2">
        <v>2016</v>
      </c>
      <c r="C48" s="5"/>
      <c r="D48" s="21">
        <f>(transportation!S47)/1000000</f>
        <v>6.0391623990000003</v>
      </c>
      <c r="E48" s="8">
        <f>transportation!T47</f>
        <v>3.1297791587914685</v>
      </c>
      <c r="F48" s="8"/>
      <c r="G48" s="10">
        <f>(total!K47)/1000000</f>
        <v>3.791551719133377</v>
      </c>
      <c r="H48" s="8">
        <f>total!L47</f>
        <v>1.9649611595125456</v>
      </c>
      <c r="I48" s="3"/>
      <c r="J48" s="10">
        <f>(total!O47)/1000000</f>
        <v>2.2361026904000001</v>
      </c>
      <c r="K48" s="8">
        <f>total!P47</f>
        <v>1.1588540156645408</v>
      </c>
      <c r="M48" s="20">
        <f>(total!S47)/1000000</f>
        <v>0.32789237999999998</v>
      </c>
      <c r="N48" s="8">
        <f>total!T47</f>
        <v>0.16992931626088773</v>
      </c>
      <c r="O48" s="8"/>
      <c r="P48" s="10">
        <f t="shared" si="0"/>
        <v>12.394709188533378</v>
      </c>
      <c r="Q48" s="8">
        <f t="shared" si="1"/>
        <v>6.4235236502294422</v>
      </c>
    </row>
    <row r="49" spans="1:17">
      <c r="A49">
        <v>1933383</v>
      </c>
      <c r="B49" s="2">
        <v>2017</v>
      </c>
      <c r="C49" s="5"/>
      <c r="D49" s="21">
        <f>(transportation!S48)/1000000</f>
        <v>5.7920333350000002</v>
      </c>
      <c r="E49" s="8">
        <f>transportation!T48</f>
        <v>2.9958023500775584</v>
      </c>
      <c r="F49" s="8"/>
      <c r="G49" s="10">
        <f>(total!K48)/1000000</f>
        <v>3.2446738562017101</v>
      </c>
      <c r="H49" s="8">
        <f>total!L48</f>
        <v>1.6782364674778407</v>
      </c>
      <c r="I49" s="3"/>
      <c r="J49" s="10">
        <f>(total!O48)/1000000</f>
        <v>2.3581061993999999</v>
      </c>
      <c r="K49" s="8">
        <f>total!P48</f>
        <v>1.2196787700109082</v>
      </c>
      <c r="M49" s="20">
        <f>(total!S48)/1000000</f>
        <v>0.35414057759999995</v>
      </c>
      <c r="N49" s="8">
        <f>total!T48</f>
        <v>0.18317145521606426</v>
      </c>
      <c r="O49" s="8"/>
      <c r="P49" s="10">
        <f t="shared" si="0"/>
        <v>11.748953968201711</v>
      </c>
      <c r="Q49" s="8">
        <f t="shared" si="1"/>
        <v>6.0768890427823719</v>
      </c>
    </row>
    <row r="50" spans="1:17">
      <c r="A50">
        <v>1937570</v>
      </c>
      <c r="B50">
        <v>2018</v>
      </c>
      <c r="C50" s="7"/>
      <c r="D50" s="21">
        <f>(transportation!S49)/1000000</f>
        <v>5.5411485000000003</v>
      </c>
      <c r="E50" s="8">
        <f>transportation!T49</f>
        <v>2.8598442894966376</v>
      </c>
      <c r="F50" s="8"/>
      <c r="G50" s="10">
        <f>(total!K49)/1000000</f>
        <v>3.0604575669869623</v>
      </c>
      <c r="H50" s="8">
        <f>total!L49</f>
        <v>1.5795339352833508</v>
      </c>
      <c r="I50" s="3"/>
      <c r="J50" s="10">
        <f>(total!O49)/1000000</f>
        <v>2.3321633672000002</v>
      </c>
      <c r="K50" s="8">
        <f>total!P49</f>
        <v>1.2036537349360281</v>
      </c>
      <c r="M50" s="20">
        <f>(total!S49)/1000000</f>
        <v>0.3631526424</v>
      </c>
      <c r="N50" s="8">
        <f>total!T49</f>
        <v>0.18742685033314926</v>
      </c>
      <c r="O50" s="8"/>
      <c r="P50" s="10">
        <f t="shared" si="0"/>
        <v>11.296922076586961</v>
      </c>
      <c r="Q50" s="8">
        <f t="shared" si="1"/>
        <v>5.8304588100491648</v>
      </c>
    </row>
    <row r="51" spans="1:17">
      <c r="A51">
        <f>total!A50</f>
        <v>1927852</v>
      </c>
      <c r="B51" s="2">
        <v>2019</v>
      </c>
      <c r="C51" s="7"/>
      <c r="D51" s="21">
        <f>(transportation!S50)/1000000</f>
        <v>6.0280071220000018</v>
      </c>
      <c r="E51" s="8">
        <f>transportation!T50</f>
        <v>3.1267997346269327</v>
      </c>
      <c r="F51" s="8"/>
      <c r="G51" s="10">
        <f>(total!K50)/1000000</f>
        <v>2.4127248042709395</v>
      </c>
      <c r="H51" s="8">
        <f>total!L50</f>
        <v>1.2515093504433636</v>
      </c>
      <c r="I51" s="3"/>
      <c r="J51" s="10">
        <f>(total!O50)/1000000</f>
        <v>2.4365200492000003</v>
      </c>
      <c r="K51" s="8">
        <f>total!P50</f>
        <v>1.2638522299429626</v>
      </c>
      <c r="M51" s="20">
        <f>(total!S50)/1000000</f>
        <v>0.34853327999999995</v>
      </c>
      <c r="N51" s="8">
        <f>total!T50</f>
        <v>0.18078840076935365</v>
      </c>
      <c r="O51" s="8"/>
      <c r="P51" s="10">
        <f t="shared" si="0"/>
        <v>11.225785255470942</v>
      </c>
      <c r="Q51" s="8">
        <f t="shared" si="1"/>
        <v>5.8229497157826122</v>
      </c>
    </row>
    <row r="52" spans="1:17">
      <c r="A52" t="s">
        <v>11</v>
      </c>
      <c r="C52" s="3"/>
      <c r="D52" s="21"/>
      <c r="E52" s="8"/>
      <c r="F52" s="8"/>
      <c r="G52" s="10"/>
      <c r="H52" s="8"/>
      <c r="I52" s="3"/>
      <c r="J52" s="10"/>
      <c r="K52" s="8"/>
      <c r="M52" s="20"/>
      <c r="N52" s="8"/>
      <c r="P52" s="10"/>
      <c r="Q52" s="8"/>
    </row>
    <row r="53" spans="1:17">
      <c r="A53">
        <v>429155</v>
      </c>
      <c r="B53" s="2">
        <v>2014</v>
      </c>
      <c r="C53" s="5"/>
      <c r="D53" s="21">
        <f>(transportation!S52)/1000000</f>
        <v>1.4300284970000001</v>
      </c>
      <c r="E53" s="8">
        <f>transportation!T52</f>
        <v>3.3321958196921861</v>
      </c>
      <c r="F53" s="8"/>
      <c r="G53" s="10">
        <f>(total!K52)/1000000</f>
        <v>0.77886450636049909</v>
      </c>
      <c r="H53" s="8">
        <f>total!L52</f>
        <v>1.8148792542566183</v>
      </c>
      <c r="I53" s="3"/>
      <c r="J53" s="10">
        <f>(total!O52)/1000000</f>
        <v>1.2161656024</v>
      </c>
      <c r="K53" s="8">
        <f>total!P52</f>
        <v>2.8338609649194346</v>
      </c>
      <c r="M53" s="20">
        <f>(total!S52)/1000000</f>
        <v>7.9665791999999999E-2</v>
      </c>
      <c r="N53" s="8">
        <f>total!T52</f>
        <v>0.18563407626615092</v>
      </c>
      <c r="O53" s="8"/>
      <c r="P53" s="10">
        <f t="shared" si="0"/>
        <v>3.5047243977604996</v>
      </c>
      <c r="Q53" s="8">
        <f t="shared" si="1"/>
        <v>8.1665701151343892</v>
      </c>
    </row>
    <row r="54" spans="1:17">
      <c r="A54">
        <v>433708</v>
      </c>
      <c r="B54" s="2">
        <v>2015</v>
      </c>
      <c r="C54" s="5"/>
      <c r="D54" s="21">
        <f>(transportation!S53)/1000000</f>
        <v>1.768452006</v>
      </c>
      <c r="E54" s="8">
        <f>transportation!T53</f>
        <v>4.0775176063157703</v>
      </c>
      <c r="F54" s="8"/>
      <c r="G54" s="10">
        <f>(total!K53)/1000000</f>
        <v>0.73553644661890694</v>
      </c>
      <c r="H54" s="8">
        <f>total!L53</f>
        <v>1.6959254766315284</v>
      </c>
      <c r="I54" s="3"/>
      <c r="J54" s="10">
        <f>(total!O53)/1000000</f>
        <v>1.1776076254000001</v>
      </c>
      <c r="K54" s="8">
        <f>total!P53</f>
        <v>2.7152084476191356</v>
      </c>
      <c r="M54" s="20">
        <f>(total!S53)/1000000</f>
        <v>8.4415552799999988E-2</v>
      </c>
      <c r="N54" s="8">
        <f>total!T53</f>
        <v>0.19463683584347069</v>
      </c>
      <c r="O54" s="8"/>
      <c r="P54" s="10">
        <f t="shared" si="0"/>
        <v>3.7660116308189067</v>
      </c>
      <c r="Q54" s="8">
        <f t="shared" si="1"/>
        <v>8.6832883664099043</v>
      </c>
    </row>
    <row r="55" spans="1:17">
      <c r="A55">
        <v>439300</v>
      </c>
      <c r="B55" s="2">
        <v>2016</v>
      </c>
      <c r="C55" s="5"/>
      <c r="D55" s="21">
        <f>(transportation!S54)/1000000</f>
        <v>1.84804389</v>
      </c>
      <c r="E55" s="8">
        <f>transportation!T54</f>
        <v>4.2067923742317328</v>
      </c>
      <c r="F55" s="8"/>
      <c r="G55" s="10">
        <f>(total!K54)/1000000</f>
        <v>0.60488303829679491</v>
      </c>
      <c r="H55" s="8">
        <f>total!L54</f>
        <v>1.3769247400336784</v>
      </c>
      <c r="I55" s="3"/>
      <c r="J55" s="10">
        <f>(total!O54)/1000000</f>
        <v>1.3446872263</v>
      </c>
      <c r="K55" s="8">
        <f>total!P54</f>
        <v>3.0609770687457316</v>
      </c>
      <c r="M55" s="20">
        <f>(total!S54)/1000000</f>
        <v>0.10334605679999999</v>
      </c>
      <c r="N55" s="8">
        <f>total!T54</f>
        <v>0.23525166583200544</v>
      </c>
      <c r="O55" s="8"/>
      <c r="P55" s="10">
        <f t="shared" si="0"/>
        <v>3.9009602113967947</v>
      </c>
      <c r="Q55" s="8">
        <f t="shared" si="1"/>
        <v>8.8799458488431497</v>
      </c>
    </row>
    <row r="56" spans="1:17">
      <c r="A56">
        <v>443877</v>
      </c>
      <c r="B56" s="2">
        <v>2017</v>
      </c>
      <c r="C56" s="5"/>
      <c r="D56" s="21">
        <f>(transportation!S55)/1000000</f>
        <v>1.9422997389999999</v>
      </c>
      <c r="E56" s="8">
        <f>transportation!T55</f>
        <v>4.3757611658184583</v>
      </c>
      <c r="F56" s="8"/>
      <c r="G56" s="10">
        <f>(total!K55)/1000000</f>
        <v>0.51971947894471948</v>
      </c>
      <c r="H56" s="8">
        <f>total!L55</f>
        <v>1.1708637278902025</v>
      </c>
      <c r="I56" s="3"/>
      <c r="J56" s="10">
        <f>(total!O55)/1000000</f>
        <v>1.2109847993999998</v>
      </c>
      <c r="K56" s="8">
        <f>total!P55</f>
        <v>2.7281990267574123</v>
      </c>
      <c r="M56" s="20">
        <f>(total!S55)/1000000</f>
        <v>0.11344454159999999</v>
      </c>
      <c r="N56" s="8">
        <f>total!T55</f>
        <v>0.25557652592948044</v>
      </c>
      <c r="O56" s="8"/>
      <c r="P56" s="10">
        <f t="shared" si="0"/>
        <v>3.786448558944719</v>
      </c>
      <c r="Q56" s="8">
        <f t="shared" si="1"/>
        <v>8.5304004463955536</v>
      </c>
    </row>
    <row r="57" spans="1:17">
      <c r="A57">
        <v>446610</v>
      </c>
      <c r="B57" s="2">
        <v>2018</v>
      </c>
      <c r="C57" s="7"/>
      <c r="D57" s="21">
        <f>(transportation!S56)/1000000</f>
        <v>1.9350503000000001</v>
      </c>
      <c r="E57" s="8">
        <f>transportation!T56</f>
        <v>4.3327518416515529</v>
      </c>
      <c r="F57" s="8"/>
      <c r="G57" s="10">
        <f>(total!K56)/1000000</f>
        <v>0.55821401362837408</v>
      </c>
      <c r="H57" s="8">
        <f>total!L56</f>
        <v>1.2498914346485168</v>
      </c>
      <c r="I57" s="3"/>
      <c r="J57" s="10">
        <f>(total!O56)/1000000</f>
        <v>1.2827455486000001</v>
      </c>
      <c r="K57" s="8">
        <f>total!P56</f>
        <v>2.8721827737847341</v>
      </c>
      <c r="M57" s="20">
        <f>(total!S56)/1000000</f>
        <v>0.10608203519999999</v>
      </c>
      <c r="N57" s="8">
        <f>total!T56</f>
        <v>0.23752722778262914</v>
      </c>
      <c r="O57" s="8"/>
      <c r="P57" s="10">
        <f t="shared" si="0"/>
        <v>3.8820918974283742</v>
      </c>
      <c r="Q57" s="8">
        <f t="shared" si="1"/>
        <v>8.6923532778674328</v>
      </c>
    </row>
    <row r="58" spans="1:17">
      <c r="A58">
        <f>total!A57</f>
        <v>447643</v>
      </c>
      <c r="B58" s="2">
        <v>2019</v>
      </c>
      <c r="C58" s="7"/>
      <c r="D58" s="21">
        <f>(transportation!S57)/1000000</f>
        <v>1.9323946440000002</v>
      </c>
      <c r="E58" s="8">
        <f>transportation!T57</f>
        <v>4.3168208684152329</v>
      </c>
      <c r="F58" s="8"/>
      <c r="G58" s="10">
        <f>(total!K57)/1000000</f>
        <v>0.34427082974900186</v>
      </c>
      <c r="H58" s="8">
        <f>total!L57</f>
        <v>0.76907452981282376</v>
      </c>
      <c r="I58" s="3"/>
      <c r="J58" s="10">
        <f>(total!O57)/1000000</f>
        <v>1.2514516615</v>
      </c>
      <c r="K58" s="8">
        <f>total!P57</f>
        <v>2.7956466682155199</v>
      </c>
      <c r="M58" s="20">
        <f>(total!S57)/1000000</f>
        <v>0.10501272</v>
      </c>
      <c r="N58" s="8">
        <f>total!T57</f>
        <v>0.23459033202797766</v>
      </c>
      <c r="O58" s="8"/>
      <c r="P58" s="10">
        <f t="shared" si="0"/>
        <v>3.6331298552490021</v>
      </c>
      <c r="Q58" s="8">
        <f t="shared" si="1"/>
        <v>8.1161323984715548</v>
      </c>
    </row>
    <row r="59" spans="1:17">
      <c r="A59" t="s">
        <v>12</v>
      </c>
      <c r="C59" s="3"/>
      <c r="D59" s="21"/>
      <c r="E59" s="8"/>
      <c r="F59" s="8"/>
      <c r="G59" s="10"/>
      <c r="H59" s="8"/>
      <c r="I59" s="3"/>
      <c r="J59" s="10"/>
      <c r="K59" s="8"/>
      <c r="M59" s="20"/>
      <c r="N59" s="8"/>
      <c r="P59" s="10"/>
      <c r="Q59" s="8"/>
    </row>
    <row r="60" spans="1:17">
      <c r="A60">
        <v>498803</v>
      </c>
      <c r="B60" s="2">
        <v>2014</v>
      </c>
      <c r="C60" s="5"/>
      <c r="D60" s="21">
        <f>(transportation!S59)/1000000</f>
        <v>1.8283902100000002</v>
      </c>
      <c r="E60" s="8">
        <f>transportation!T59</f>
        <v>3.6655557604906148</v>
      </c>
      <c r="F60" s="8"/>
      <c r="G60" s="10">
        <f>(total!K59)/1000000</f>
        <v>0.62772621310641374</v>
      </c>
      <c r="H60" s="8">
        <f>total!L59</f>
        <v>1.2584651918821934</v>
      </c>
      <c r="I60" s="3"/>
      <c r="J60" s="10">
        <f>(total!O59)/1000000</f>
        <v>0.54116476800000002</v>
      </c>
      <c r="K60" s="8">
        <f>total!P59</f>
        <v>1.0849268508810093</v>
      </c>
      <c r="M60" s="20">
        <f>(total!S59)/1000000</f>
        <v>7.8304113600000003E-2</v>
      </c>
      <c r="N60" s="8">
        <f>total!T59</f>
        <v>0.15698404700853844</v>
      </c>
      <c r="O60" s="8"/>
      <c r="P60" s="10">
        <f t="shared" si="0"/>
        <v>3.0755853047064141</v>
      </c>
      <c r="Q60" s="8">
        <f t="shared" si="1"/>
        <v>6.165931850262357</v>
      </c>
    </row>
    <row r="61" spans="1:17">
      <c r="A61">
        <v>501346</v>
      </c>
      <c r="B61" s="2">
        <v>2015</v>
      </c>
      <c r="C61" s="5"/>
      <c r="D61" s="21">
        <f>(transportation!S60)/1000000</f>
        <v>1.7867149259999999</v>
      </c>
      <c r="E61" s="8">
        <f>transportation!T60</f>
        <v>3.5638360054732661</v>
      </c>
      <c r="F61" s="8"/>
      <c r="G61" s="10">
        <f>(total!K60)/1000000</f>
        <v>0.4468475008387589</v>
      </c>
      <c r="H61" s="8">
        <f>total!L60</f>
        <v>0.89129563383124411</v>
      </c>
      <c r="I61" s="3"/>
      <c r="J61" s="10">
        <f>(total!O60)/1000000</f>
        <v>0.53762127810000004</v>
      </c>
      <c r="K61" s="8">
        <f>total!P60</f>
        <v>1.0723557744551666</v>
      </c>
      <c r="M61" s="20">
        <f>(total!S60)/1000000</f>
        <v>9.3206999999999998E-2</v>
      </c>
      <c r="N61" s="8">
        <f>total!T60</f>
        <v>0.18591352080200102</v>
      </c>
      <c r="O61" s="8"/>
      <c r="P61" s="10">
        <f t="shared" si="0"/>
        <v>2.8643907049387591</v>
      </c>
      <c r="Q61" s="8">
        <f t="shared" si="1"/>
        <v>5.7134009345616779</v>
      </c>
    </row>
    <row r="62" spans="1:17">
      <c r="A62">
        <v>503249</v>
      </c>
      <c r="B62" s="2">
        <v>2016</v>
      </c>
      <c r="C62" s="5"/>
      <c r="D62" s="21">
        <f>(transportation!S61)/1000000</f>
        <v>1.8750966230000001</v>
      </c>
      <c r="E62" s="8">
        <f>transportation!T61</f>
        <v>3.7259818161586016</v>
      </c>
      <c r="F62" s="8"/>
      <c r="G62" s="10">
        <f>(total!K61)/1000000</f>
        <v>0.27127202801114242</v>
      </c>
      <c r="H62" s="8">
        <f>total!L61</f>
        <v>0.53904136523101365</v>
      </c>
      <c r="I62" s="3"/>
      <c r="J62" s="10">
        <f>(total!O61)/1000000</f>
        <v>0.56162005440000007</v>
      </c>
      <c r="K62" s="8">
        <f>total!P61</f>
        <v>1.1159884160723619</v>
      </c>
      <c r="M62" s="20">
        <f>(total!S61)/1000000</f>
        <v>0.10256470079999999</v>
      </c>
      <c r="N62" s="8">
        <f>total!T61</f>
        <v>0.20380507621475649</v>
      </c>
      <c r="O62" s="8"/>
      <c r="P62" s="10">
        <f t="shared" si="0"/>
        <v>2.8105534062111426</v>
      </c>
      <c r="Q62" s="8">
        <f t="shared" si="1"/>
        <v>5.584816673676734</v>
      </c>
    </row>
    <row r="63" spans="1:17">
      <c r="A63">
        <v>503246</v>
      </c>
      <c r="B63" s="2">
        <v>2017</v>
      </c>
      <c r="C63" s="5"/>
      <c r="D63" s="21">
        <f>(transportation!S62)/1000000</f>
        <v>1.8617042159999999</v>
      </c>
      <c r="E63" s="8">
        <f>transportation!T62</f>
        <v>3.6993919792705756</v>
      </c>
      <c r="F63" s="8"/>
      <c r="G63" s="10">
        <f>(total!K62)/1000000</f>
        <v>0.29275091311120599</v>
      </c>
      <c r="H63" s="8">
        <f>total!L62</f>
        <v>0.58172526579685868</v>
      </c>
      <c r="I63" s="3"/>
      <c r="J63" s="10">
        <f>(total!O62)/1000000</f>
        <v>0.60051776139999991</v>
      </c>
      <c r="K63" s="8">
        <f>total!P62</f>
        <v>1.1932886926075914</v>
      </c>
      <c r="M63" s="20">
        <f>(total!S62)/1000000</f>
        <v>0.22770645119999999</v>
      </c>
      <c r="N63" s="8">
        <f>total!T62</f>
        <v>0.45247543189613026</v>
      </c>
      <c r="O63" s="8"/>
      <c r="P63" s="10">
        <f t="shared" si="0"/>
        <v>2.9826793417112056</v>
      </c>
      <c r="Q63" s="8">
        <f t="shared" si="1"/>
        <v>5.9268813695711557</v>
      </c>
    </row>
    <row r="64" spans="1:17">
      <c r="A64">
        <v>499942</v>
      </c>
      <c r="B64" s="2">
        <v>2018</v>
      </c>
      <c r="C64" s="7"/>
      <c r="D64" s="21">
        <f>(transportation!S63)/1000000</f>
        <v>1.7182010000000001</v>
      </c>
      <c r="E64" s="8">
        <f>transportation!T63</f>
        <v>3.4368006688775896</v>
      </c>
      <c r="F64" s="8"/>
      <c r="G64" s="10">
        <f>(total!K63)/1000000</f>
        <v>0.2583817262917813</v>
      </c>
      <c r="H64" s="8">
        <f>total!L63</f>
        <v>0.51682340409843808</v>
      </c>
      <c r="I64" s="3"/>
      <c r="J64" s="10">
        <f>(total!O63)/1000000</f>
        <v>0.59011254170000005</v>
      </c>
      <c r="K64" s="8">
        <f>total!P63</f>
        <v>1.1803620053926256</v>
      </c>
      <c r="M64" s="20">
        <f>(total!S63)/1000000</f>
        <v>0.29896295279999996</v>
      </c>
      <c r="N64" s="8">
        <f>total!T63</f>
        <v>0.59799527305167388</v>
      </c>
      <c r="O64" s="8"/>
      <c r="P64" s="10">
        <f t="shared" si="0"/>
        <v>2.8656582207917811</v>
      </c>
      <c r="Q64" s="8">
        <f t="shared" si="1"/>
        <v>5.7319813514203268</v>
      </c>
    </row>
    <row r="65" spans="1:19">
      <c r="A65">
        <f>total!A64</f>
        <v>494336</v>
      </c>
      <c r="B65" s="2">
        <v>2019</v>
      </c>
      <c r="D65" s="21">
        <f>(transportation!S64)/1000000</f>
        <v>1.8734096560000002</v>
      </c>
      <c r="E65" s="8">
        <f>transportation!T64</f>
        <v>3.7897495954168829</v>
      </c>
      <c r="F65" s="8"/>
      <c r="G65" s="10">
        <f>(total!K64)/1000000</f>
        <v>0.18871851962782518</v>
      </c>
      <c r="H65" s="8">
        <f>total!L64</f>
        <v>0.38176163505758265</v>
      </c>
      <c r="J65" s="10">
        <f>(total!O64)/1000000</f>
        <v>0.58819615709999995</v>
      </c>
      <c r="K65" s="8">
        <f>total!P64</f>
        <v>1.189871174868915</v>
      </c>
      <c r="M65" s="20">
        <f>(total!S64)/1000000</f>
        <v>0.11348184</v>
      </c>
      <c r="N65" s="8">
        <f>total!T64</f>
        <v>0.22956418306576903</v>
      </c>
      <c r="P65" s="10">
        <f t="shared" si="0"/>
        <v>2.7638061727278256</v>
      </c>
      <c r="Q65" s="8">
        <f t="shared" si="1"/>
        <v>5.5909465884091496</v>
      </c>
    </row>
    <row r="66" spans="1:19">
      <c r="D66" s="21"/>
      <c r="E66" s="8"/>
      <c r="F66" s="8"/>
      <c r="G66" s="10"/>
      <c r="H66" s="8"/>
      <c r="J66" s="10"/>
      <c r="K66" s="8"/>
      <c r="M66" s="20"/>
      <c r="N66" s="8"/>
      <c r="P66" s="10"/>
      <c r="Q66" s="8"/>
    </row>
    <row r="67" spans="1:19">
      <c r="A67" t="s">
        <v>27</v>
      </c>
      <c r="D67" s="21"/>
      <c r="E67" s="8"/>
      <c r="F67" s="8"/>
      <c r="G67" s="10"/>
      <c r="H67" s="8"/>
      <c r="J67" s="10"/>
      <c r="K67" s="8"/>
      <c r="M67" s="20"/>
      <c r="N67" s="8"/>
      <c r="P67" s="10"/>
      <c r="Q67" s="8"/>
    </row>
    <row r="68" spans="1:19">
      <c r="A68">
        <f t="shared" ref="A68:A73" si="2">A4+A11+A18+A25+A32+A39+A46+A53+A60</f>
        <v>7548762</v>
      </c>
      <c r="B68" s="2">
        <v>2014</v>
      </c>
      <c r="C68" s="3"/>
      <c r="D68" s="21">
        <f>(transportation!S67)/1000000</f>
        <v>19.918987306000002</v>
      </c>
      <c r="E68" s="8">
        <f>transportation!T67</f>
        <v>2.6387091427706957</v>
      </c>
      <c r="F68" s="8"/>
      <c r="G68" s="10">
        <f>(total!K67)/1000000</f>
        <v>13.536466199009181</v>
      </c>
      <c r="H68" s="8">
        <f>total!L67</f>
        <v>1.7932034681990481</v>
      </c>
      <c r="J68" s="10">
        <f>(total!O67)/1000000</f>
        <v>14.351238780600001</v>
      </c>
      <c r="K68" s="8">
        <f>total!P67</f>
        <v>1.9011380648376515</v>
      </c>
      <c r="M68" s="20">
        <f>(total!S67)/1000000</f>
        <v>1.2175315031999998</v>
      </c>
      <c r="N68" s="8">
        <f>total!T67</f>
        <v>0.16128889786166262</v>
      </c>
      <c r="O68" s="8"/>
      <c r="P68" s="10">
        <f t="shared" si="0"/>
        <v>49.024223788809181</v>
      </c>
      <c r="Q68" s="8">
        <f t="shared" si="1"/>
        <v>6.4943395736690572</v>
      </c>
      <c r="S68" s="10"/>
    </row>
    <row r="69" spans="1:19">
      <c r="A69">
        <f t="shared" si="2"/>
        <v>7643170</v>
      </c>
      <c r="B69" s="2">
        <v>2015</v>
      </c>
      <c r="C69" s="3"/>
      <c r="D69" s="21">
        <f>(transportation!S68)/1000000</f>
        <v>22.975760822000002</v>
      </c>
      <c r="E69" s="8">
        <f>transportation!T68</f>
        <v>3.0060512617147075</v>
      </c>
      <c r="F69" s="8"/>
      <c r="G69" s="10">
        <f>(total!K68)/1000000</f>
        <v>12.819488981013414</v>
      </c>
      <c r="H69" s="8">
        <f>total!L68</f>
        <v>1.6772476578452937</v>
      </c>
      <c r="J69" s="10">
        <f>(total!O68)/1000000</f>
        <v>14.242810352399999</v>
      </c>
      <c r="K69" s="8">
        <f>total!P68</f>
        <v>1.863468999433481</v>
      </c>
      <c r="M69" s="20">
        <f>(total!S68)/1000000</f>
        <v>1.2987839471999998</v>
      </c>
      <c r="N69" s="8">
        <f>total!T68</f>
        <v>0.16992739232543563</v>
      </c>
      <c r="O69" s="8"/>
      <c r="P69" s="10">
        <f t="shared" ref="P69:Q73" si="3">D69+G69+J69+M69</f>
        <v>51.336844102613419</v>
      </c>
      <c r="Q69" s="8">
        <f t="shared" si="3"/>
        <v>6.7166953113189178</v>
      </c>
    </row>
    <row r="70" spans="1:19">
      <c r="A70">
        <f t="shared" si="2"/>
        <v>7702447</v>
      </c>
      <c r="B70" s="2">
        <v>2016</v>
      </c>
      <c r="C70" s="3"/>
      <c r="D70" s="21">
        <f>(transportation!S69)/1000000</f>
        <v>23.794937689000001</v>
      </c>
      <c r="E70" s="8">
        <f>transportation!T69</f>
        <v>3.0892699020194492</v>
      </c>
      <c r="F70" s="8"/>
      <c r="G70" s="10">
        <f>(total!K69)/1000000</f>
        <v>11.041448025718356</v>
      </c>
      <c r="H70" s="8">
        <f>total!L69</f>
        <v>1.433498734326683</v>
      </c>
      <c r="J70" s="10">
        <f>(total!O69)/1000000</f>
        <v>14.8871248758</v>
      </c>
      <c r="K70" s="8">
        <f>total!P69</f>
        <v>1.9327786190284724</v>
      </c>
      <c r="M70" s="20">
        <f>(total!S69)/1000000</f>
        <v>1.3751958311999999</v>
      </c>
      <c r="N70" s="8">
        <f>total!T69</f>
        <v>0.17854012253508528</v>
      </c>
      <c r="O70" s="8"/>
      <c r="P70" s="10">
        <f t="shared" si="3"/>
        <v>51.098706421718362</v>
      </c>
      <c r="Q70" s="8">
        <f t="shared" si="3"/>
        <v>6.6340873779096894</v>
      </c>
    </row>
    <row r="71" spans="1:19">
      <c r="A71">
        <f t="shared" si="2"/>
        <v>7731585</v>
      </c>
      <c r="B71" s="2">
        <v>2017</v>
      </c>
      <c r="C71" s="3"/>
      <c r="D71" s="21">
        <f>(transportation!S70)/1000000</f>
        <v>23.647431339000001</v>
      </c>
      <c r="E71" s="8">
        <f>transportation!T70</f>
        <v>3.058548970101215</v>
      </c>
      <c r="F71" s="8"/>
      <c r="G71" s="10">
        <f>(total!K70)/1000000</f>
        <v>9.3634669489418894</v>
      </c>
      <c r="H71" s="8">
        <f>total!L70</f>
        <v>1.2110669350387908</v>
      </c>
      <c r="J71" s="10">
        <f>(total!O70)/1000000</f>
        <v>15.0206867626</v>
      </c>
      <c r="K71" s="8">
        <f>total!P70</f>
        <v>1.9427694014357988</v>
      </c>
      <c r="M71" s="20">
        <f>(total!S70)/1000000</f>
        <v>1.6173561839999999</v>
      </c>
      <c r="N71" s="8">
        <f>total!T70</f>
        <v>0.2091881786205545</v>
      </c>
      <c r="O71" s="8"/>
      <c r="P71" s="10">
        <f t="shared" si="3"/>
        <v>49.648941234541894</v>
      </c>
      <c r="Q71" s="8">
        <f t="shared" si="3"/>
        <v>6.4215734851963582</v>
      </c>
    </row>
    <row r="72" spans="1:19">
      <c r="A72">
        <f t="shared" si="2"/>
        <v>7753023</v>
      </c>
      <c r="B72" s="2">
        <v>2018</v>
      </c>
      <c r="C72" s="3"/>
      <c r="D72" s="21">
        <f>(transportation!S71)/1000000</f>
        <v>22.5177713</v>
      </c>
      <c r="E72" s="8">
        <f>transportation!T71</f>
        <v>2.9043859795076066</v>
      </c>
      <c r="F72" s="8"/>
      <c r="G72" s="10">
        <f>(total!K71)/1000000</f>
        <v>8.6568398578808399</v>
      </c>
      <c r="H72" s="8">
        <f>total!L71</f>
        <v>1.116576057865537</v>
      </c>
      <c r="J72" s="10">
        <f>(total!O71)/1000000</f>
        <v>15.0529297684</v>
      </c>
      <c r="K72" s="8">
        <f>total!P71</f>
        <v>1.9415561863288682</v>
      </c>
      <c r="M72" s="20">
        <f>(total!S71)/1000000</f>
        <v>1.7375209727999998</v>
      </c>
      <c r="N72" s="8">
        <f>total!T71</f>
        <v>0.22410883764952069</v>
      </c>
      <c r="O72" s="8"/>
      <c r="P72" s="10">
        <f t="shared" si="3"/>
        <v>47.965061899080837</v>
      </c>
      <c r="Q72" s="8">
        <f t="shared" si="3"/>
        <v>6.1866270613515324</v>
      </c>
    </row>
    <row r="73" spans="1:19">
      <c r="A73">
        <f t="shared" si="2"/>
        <v>7733640</v>
      </c>
      <c r="B73" s="2">
        <v>2019</v>
      </c>
      <c r="D73" s="21">
        <f>(transportation!S72)/1000000</f>
        <v>23.618371496000005</v>
      </c>
      <c r="E73" s="8">
        <f>transportation!T72</f>
        <v>3.0539786563636278</v>
      </c>
      <c r="G73" s="10">
        <f>(total!K72)/1000000</f>
        <v>6.4726434178314323</v>
      </c>
      <c r="H73" s="8">
        <f>total!L72</f>
        <v>0.83694656304552995</v>
      </c>
      <c r="J73" s="10">
        <f>(total!O72)/1000000</f>
        <v>15.634717907500001</v>
      </c>
      <c r="K73" s="8">
        <f>total!P72</f>
        <v>2.0216505949979569</v>
      </c>
      <c r="M73" s="20">
        <f>(total!S72)/1000000</f>
        <v>1.53137496</v>
      </c>
      <c r="N73" s="8">
        <f>total!T72</f>
        <v>0.19801477182801372</v>
      </c>
      <c r="P73" s="10">
        <f t="shared" si="3"/>
        <v>47.257107781331435</v>
      </c>
      <c r="Q73" s="8">
        <f t="shared" si="3"/>
        <v>6.1105905862351282</v>
      </c>
    </row>
    <row r="74" spans="1:19">
      <c r="S74" s="69">
        <f>(P72-P73)/P72</f>
        <v>1.4759787431087811E-2</v>
      </c>
    </row>
    <row r="75" spans="1:19">
      <c r="D75" s="35">
        <f>(D73-D68)/D68</f>
        <v>0.18572149945020922</v>
      </c>
      <c r="G75" s="35">
        <f>(G73-G68)/G68</f>
        <v>-0.5218365470963755</v>
      </c>
      <c r="J75" s="35">
        <f>(J73-J68)/J68</f>
        <v>8.9433333701826934E-2</v>
      </c>
      <c r="M75" s="35">
        <f>(M73-M68)/M68</f>
        <v>0.2577702966823735</v>
      </c>
      <c r="P75" s="69">
        <f>(P73-P68)/P68</f>
        <v>-3.6045772291883341E-2</v>
      </c>
    </row>
    <row r="78" spans="1:19">
      <c r="C78" s="2"/>
      <c r="D78" s="8"/>
      <c r="E78" s="8"/>
      <c r="F78" s="8"/>
      <c r="G78" s="8"/>
      <c r="M78" s="2"/>
      <c r="N78" s="8"/>
      <c r="O78" s="8"/>
      <c r="P78" s="8"/>
      <c r="Q78" s="8"/>
    </row>
    <row r="79" spans="1:19">
      <c r="C79" s="2"/>
      <c r="D79" s="8"/>
      <c r="E79" s="8"/>
      <c r="F79" s="8"/>
      <c r="G79" s="8"/>
      <c r="M79" s="2"/>
      <c r="N79" s="8"/>
      <c r="O79" s="8"/>
      <c r="P79" s="8"/>
      <c r="Q79" s="8"/>
    </row>
    <row r="80" spans="1:19">
      <c r="C80" s="2"/>
      <c r="D80" s="8"/>
      <c r="E80" s="8"/>
      <c r="F80" s="8"/>
      <c r="H80" t="s">
        <v>187</v>
      </c>
      <c r="Q80" s="8"/>
    </row>
    <row r="81" spans="3:17">
      <c r="C81" s="2"/>
      <c r="D81" s="8"/>
      <c r="E81" s="8"/>
      <c r="F81" s="8"/>
      <c r="H81" t="s">
        <v>0</v>
      </c>
      <c r="I81" t="s">
        <v>5</v>
      </c>
      <c r="J81" t="s">
        <v>6</v>
      </c>
      <c r="K81" t="s">
        <v>7</v>
      </c>
      <c r="L81" t="s">
        <v>8</v>
      </c>
      <c r="M81" t="s">
        <v>9</v>
      </c>
      <c r="N81" t="s">
        <v>10</v>
      </c>
      <c r="O81" t="s">
        <v>11</v>
      </c>
      <c r="P81" t="s">
        <v>12</v>
      </c>
      <c r="Q81" s="8"/>
    </row>
    <row r="82" spans="3:17">
      <c r="C82" s="2"/>
      <c r="D82" s="8"/>
      <c r="E82" s="8"/>
      <c r="F82" s="8"/>
      <c r="G82">
        <v>2014</v>
      </c>
      <c r="H82" s="21">
        <f>D4</f>
        <v>4.1536147810000008</v>
      </c>
      <c r="I82" s="36">
        <f>D11</f>
        <v>3.2727587720000004</v>
      </c>
      <c r="J82" s="36">
        <f>D18</f>
        <v>0.61424342499999995</v>
      </c>
      <c r="K82" s="36">
        <f>D25</f>
        <v>0.33806244900000004</v>
      </c>
      <c r="L82" s="36">
        <f>D32</f>
        <v>0.82851788200000009</v>
      </c>
      <c r="M82" s="36">
        <f>D39</f>
        <v>1.8744746390000002</v>
      </c>
      <c r="N82" s="36">
        <f>D46</f>
        <v>5.5788966510000009</v>
      </c>
      <c r="O82" s="36">
        <f>D53</f>
        <v>1.4300284970000001</v>
      </c>
      <c r="P82" s="36">
        <f>D60</f>
        <v>1.8283902100000002</v>
      </c>
      <c r="Q82" s="8"/>
    </row>
    <row r="83" spans="3:17">
      <c r="C83" s="2"/>
      <c r="D83" s="8"/>
      <c r="E83" s="8"/>
      <c r="F83" s="8"/>
      <c r="G83">
        <v>2015</v>
      </c>
      <c r="H83" s="21">
        <f t="shared" ref="H83:H87" si="4">D5</f>
        <v>4.7728866320000005</v>
      </c>
      <c r="I83" s="36">
        <f t="shared" ref="I83:I87" si="5">D12</f>
        <v>3.2517549200000002</v>
      </c>
      <c r="J83" s="36">
        <f t="shared" ref="J83:J87" si="6">D19</f>
        <v>0.86534960999999999</v>
      </c>
      <c r="K83" s="36">
        <f t="shared" ref="K83:K87" si="7">D26</f>
        <v>0.57582481800000007</v>
      </c>
      <c r="L83" s="36">
        <f t="shared" ref="L83:L87" si="8">D33</f>
        <v>1.124179244</v>
      </c>
      <c r="M83" s="36">
        <f t="shared" ref="M83:M87" si="9">D40</f>
        <v>2.5995776440000005</v>
      </c>
      <c r="N83" s="36">
        <f t="shared" ref="N83:N87" si="10">D47</f>
        <v>6.2310210220000002</v>
      </c>
      <c r="O83" s="36">
        <f t="shared" ref="O83:O87" si="11">D54</f>
        <v>1.768452006</v>
      </c>
      <c r="P83" s="36">
        <f t="shared" ref="P83:P87" si="12">D61</f>
        <v>1.7867149259999999</v>
      </c>
      <c r="Q83" s="8"/>
    </row>
    <row r="84" spans="3:17">
      <c r="G84">
        <v>2016</v>
      </c>
      <c r="H84" s="21">
        <f t="shared" si="4"/>
        <v>5.1334917539999996</v>
      </c>
      <c r="I84" s="36">
        <f t="shared" si="5"/>
        <v>3.6789870769999999</v>
      </c>
      <c r="J84" s="36">
        <f t="shared" si="6"/>
        <v>0.85179299400000008</v>
      </c>
      <c r="K84" s="36">
        <f t="shared" si="7"/>
        <v>0.51776451899999998</v>
      </c>
      <c r="L84" s="36">
        <f t="shared" si="8"/>
        <v>1.1255529379999998</v>
      </c>
      <c r="M84" s="36">
        <f t="shared" si="9"/>
        <v>2.7250454950000003</v>
      </c>
      <c r="N84" s="36">
        <f t="shared" si="10"/>
        <v>6.0391623990000003</v>
      </c>
      <c r="O84" s="36">
        <f t="shared" si="11"/>
        <v>1.84804389</v>
      </c>
      <c r="P84" s="36">
        <f t="shared" si="12"/>
        <v>1.8750966230000001</v>
      </c>
    </row>
    <row r="85" spans="3:17">
      <c r="G85">
        <v>2017</v>
      </c>
      <c r="H85" s="21">
        <f t="shared" si="4"/>
        <v>5.1629787410000008</v>
      </c>
      <c r="I85" s="36">
        <f t="shared" si="5"/>
        <v>3.6819539300000002</v>
      </c>
      <c r="J85" s="36">
        <f t="shared" si="6"/>
        <v>0.84284924700000008</v>
      </c>
      <c r="K85" s="36">
        <f t="shared" si="7"/>
        <v>0.48409679100000003</v>
      </c>
      <c r="L85" s="36">
        <f t="shared" si="8"/>
        <v>1.124148098</v>
      </c>
      <c r="M85" s="36">
        <f t="shared" si="9"/>
        <v>2.7553672420000002</v>
      </c>
      <c r="N85" s="36">
        <f t="shared" si="10"/>
        <v>5.7920333350000002</v>
      </c>
      <c r="O85" s="36">
        <f t="shared" si="11"/>
        <v>1.9422997389999999</v>
      </c>
      <c r="P85" s="36">
        <f t="shared" si="12"/>
        <v>1.8617042159999999</v>
      </c>
    </row>
    <row r="86" spans="3:17">
      <c r="G86">
        <v>2018</v>
      </c>
      <c r="H86" s="21">
        <f t="shared" si="4"/>
        <v>5.0654281000000019</v>
      </c>
      <c r="I86" s="36">
        <f t="shared" si="5"/>
        <v>3.4574129</v>
      </c>
      <c r="J86" s="36">
        <f t="shared" si="6"/>
        <v>0.68075069999999993</v>
      </c>
      <c r="K86" s="36">
        <f t="shared" si="7"/>
        <v>0.54597319999999994</v>
      </c>
      <c r="L86" s="36">
        <f t="shared" si="8"/>
        <v>1.0012795000000001</v>
      </c>
      <c r="M86" s="36">
        <f t="shared" si="9"/>
        <v>2.5725271000000003</v>
      </c>
      <c r="N86" s="36">
        <f t="shared" si="10"/>
        <v>5.5411485000000003</v>
      </c>
      <c r="O86" s="36">
        <f t="shared" si="11"/>
        <v>1.9350503000000001</v>
      </c>
      <c r="P86" s="36">
        <f t="shared" si="12"/>
        <v>1.7182010000000001</v>
      </c>
    </row>
    <row r="87" spans="3:17">
      <c r="G87">
        <v>2019</v>
      </c>
      <c r="H87" s="21">
        <f t="shared" si="4"/>
        <v>5.1467866340000015</v>
      </c>
      <c r="I87" s="36">
        <f t="shared" si="5"/>
        <v>3.6237862580000009</v>
      </c>
      <c r="J87" s="36">
        <f t="shared" si="6"/>
        <v>0.79930942400000005</v>
      </c>
      <c r="K87" s="36">
        <f t="shared" si="7"/>
        <v>0.50900727800000001</v>
      </c>
      <c r="L87" s="36">
        <f t="shared" si="8"/>
        <v>0.9831046320000002</v>
      </c>
      <c r="M87" s="36">
        <f t="shared" si="9"/>
        <v>2.7225658480000003</v>
      </c>
      <c r="N87" s="36">
        <f t="shared" si="10"/>
        <v>6.0280071220000018</v>
      </c>
      <c r="O87" s="36">
        <f t="shared" si="11"/>
        <v>1.9323946440000002</v>
      </c>
      <c r="P87" s="36">
        <f t="shared" si="12"/>
        <v>1.8734096560000002</v>
      </c>
    </row>
    <row r="106" spans="10:15">
      <c r="J106" t="s">
        <v>188</v>
      </c>
      <c r="K106" t="s">
        <v>13</v>
      </c>
      <c r="L106" t="s">
        <v>2</v>
      </c>
      <c r="M106" t="s">
        <v>69</v>
      </c>
      <c r="N106" t="s">
        <v>189</v>
      </c>
    </row>
    <row r="107" spans="10:15">
      <c r="J107" s="2">
        <v>2014</v>
      </c>
      <c r="K107" s="15">
        <f>D68</f>
        <v>19.918987306000002</v>
      </c>
      <c r="L107" s="15">
        <v>13.524903320960291</v>
      </c>
      <c r="M107" s="15">
        <v>14.351238780600001</v>
      </c>
      <c r="N107" s="15">
        <v>1.2175315031999998</v>
      </c>
      <c r="O107" s="36">
        <f>SUM(K107:N107)</f>
        <v>49.012660910760296</v>
      </c>
    </row>
    <row r="108" spans="10:15">
      <c r="J108" s="2">
        <v>2015</v>
      </c>
      <c r="K108" s="15">
        <f t="shared" ref="K108:K112" si="13">D69</f>
        <v>22.975760822000002</v>
      </c>
      <c r="L108" s="15">
        <v>12.80772548797254</v>
      </c>
      <c r="M108" s="15">
        <v>14.242810352399999</v>
      </c>
      <c r="N108" s="15">
        <v>1.2987839471999998</v>
      </c>
      <c r="O108" s="36">
        <f t="shared" ref="O108:O113" si="14">SUM(K108:N108)</f>
        <v>51.325080609572545</v>
      </c>
    </row>
    <row r="109" spans="10:15">
      <c r="J109" s="2">
        <v>2016</v>
      </c>
      <c r="K109" s="15">
        <f t="shared" si="13"/>
        <v>23.794937689000001</v>
      </c>
      <c r="L109" s="15">
        <v>11.028445460615993</v>
      </c>
      <c r="M109" s="15">
        <v>14.8871248758</v>
      </c>
      <c r="N109" s="15">
        <v>1.3751958311999999</v>
      </c>
      <c r="O109" s="36">
        <f t="shared" si="14"/>
        <v>51.085703856615993</v>
      </c>
    </row>
    <row r="110" spans="10:15">
      <c r="J110" s="2">
        <v>2017</v>
      </c>
      <c r="K110" s="15">
        <f t="shared" si="13"/>
        <v>23.647431339000001</v>
      </c>
      <c r="L110" s="15">
        <v>9.3498569865860155</v>
      </c>
      <c r="M110" s="15">
        <v>15.0206867626</v>
      </c>
      <c r="N110" s="15">
        <v>1.6173561839999999</v>
      </c>
      <c r="O110" s="36">
        <f t="shared" si="14"/>
        <v>49.635331272186015</v>
      </c>
    </row>
    <row r="111" spans="10:15">
      <c r="J111" s="2">
        <v>2018</v>
      </c>
      <c r="K111" s="15">
        <f t="shared" si="13"/>
        <v>22.5177713</v>
      </c>
      <c r="L111" s="15">
        <v>8.6435674930700159</v>
      </c>
      <c r="M111" s="15">
        <v>15.0529297684</v>
      </c>
      <c r="N111" s="15">
        <v>1.7375209727999998</v>
      </c>
      <c r="O111" s="36">
        <f t="shared" si="14"/>
        <v>47.951789534270013</v>
      </c>
    </row>
    <row r="112" spans="10:15">
      <c r="J112" s="2">
        <v>2019</v>
      </c>
      <c r="K112" s="15">
        <f t="shared" si="13"/>
        <v>23.618371496000005</v>
      </c>
      <c r="L112" s="15">
        <v>6.4590665779667065</v>
      </c>
      <c r="M112" s="15">
        <v>15.634717907500001</v>
      </c>
      <c r="N112" s="15">
        <v>1.53137496</v>
      </c>
      <c r="O112" s="36">
        <f t="shared" si="14"/>
        <v>47.243530941466709</v>
      </c>
    </row>
    <row r="113" spans="4:15">
      <c r="J113" s="2">
        <v>2020</v>
      </c>
      <c r="K113" s="15">
        <v>0</v>
      </c>
      <c r="L113" s="15">
        <v>0</v>
      </c>
      <c r="M113" s="15">
        <v>0</v>
      </c>
      <c r="N113" s="15">
        <v>0</v>
      </c>
      <c r="O113" s="36">
        <f t="shared" si="14"/>
        <v>0</v>
      </c>
    </row>
    <row r="114" spans="4:15">
      <c r="J114" s="2">
        <v>2021</v>
      </c>
      <c r="K114" s="15">
        <v>0</v>
      </c>
      <c r="L114" s="15">
        <v>0</v>
      </c>
      <c r="M114" s="15">
        <v>0</v>
      </c>
      <c r="N114" s="15">
        <v>0</v>
      </c>
    </row>
    <row r="115" spans="4:15">
      <c r="J115" s="2">
        <v>2022</v>
      </c>
      <c r="K115" s="15">
        <v>0</v>
      </c>
      <c r="L115" s="15">
        <v>0</v>
      </c>
      <c r="M115" s="15">
        <v>0</v>
      </c>
      <c r="N115" s="15">
        <v>0</v>
      </c>
    </row>
    <row r="116" spans="4:15">
      <c r="J116" s="2">
        <v>2023</v>
      </c>
      <c r="K116" s="15">
        <v>0</v>
      </c>
      <c r="L116" s="15">
        <v>0</v>
      </c>
      <c r="M116" s="15">
        <v>0</v>
      </c>
      <c r="N116" s="15">
        <v>0</v>
      </c>
    </row>
    <row r="117" spans="4:15">
      <c r="J117" s="2">
        <v>2024</v>
      </c>
      <c r="K117" s="15">
        <v>0</v>
      </c>
      <c r="L117" s="15">
        <v>0</v>
      </c>
      <c r="M117" s="15">
        <v>0</v>
      </c>
      <c r="N117" s="15">
        <v>0</v>
      </c>
    </row>
    <row r="118" spans="4:15">
      <c r="J118" s="2">
        <v>2025</v>
      </c>
      <c r="K118" s="15">
        <v>0</v>
      </c>
      <c r="L118" s="15">
        <v>0</v>
      </c>
      <c r="M118" s="15">
        <v>0</v>
      </c>
      <c r="N118" s="15">
        <v>0</v>
      </c>
    </row>
    <row r="119" spans="4:15">
      <c r="J119" s="2">
        <v>2026</v>
      </c>
      <c r="K119" s="15">
        <v>0</v>
      </c>
      <c r="L119" s="15">
        <v>0</v>
      </c>
      <c r="M119" s="15">
        <v>0</v>
      </c>
      <c r="N119" s="15">
        <v>0</v>
      </c>
    </row>
    <row r="120" spans="4:15">
      <c r="J120" s="2">
        <v>2027</v>
      </c>
      <c r="K120" s="15">
        <v>0</v>
      </c>
      <c r="L120" s="15">
        <v>0</v>
      </c>
      <c r="M120" s="15">
        <v>0</v>
      </c>
      <c r="N120" s="15">
        <v>0</v>
      </c>
    </row>
    <row r="121" spans="4:15">
      <c r="J121" s="2">
        <v>2028</v>
      </c>
      <c r="K121" s="15">
        <v>0</v>
      </c>
      <c r="L121" s="15">
        <v>0</v>
      </c>
      <c r="M121" s="15">
        <v>0</v>
      </c>
      <c r="N121" s="15">
        <v>0</v>
      </c>
    </row>
    <row r="122" spans="4:15">
      <c r="D122" s="36"/>
      <c r="E122" s="36"/>
      <c r="F122" s="36"/>
      <c r="G122" s="36"/>
      <c r="H122" s="36"/>
      <c r="I122" s="36"/>
      <c r="J122" s="2">
        <v>2029</v>
      </c>
      <c r="K122" s="15">
        <v>0</v>
      </c>
      <c r="L122" s="15">
        <v>0</v>
      </c>
      <c r="M122" s="15">
        <v>0</v>
      </c>
      <c r="N122" s="15">
        <v>0</v>
      </c>
    </row>
    <row r="123" spans="4:15">
      <c r="D123" s="36"/>
      <c r="E123" s="36"/>
      <c r="F123" s="36"/>
      <c r="G123" s="36"/>
      <c r="H123" s="36"/>
      <c r="I123" s="36"/>
      <c r="J123" s="2">
        <v>2030</v>
      </c>
      <c r="K123" s="15">
        <v>0</v>
      </c>
      <c r="L123" s="15">
        <v>0</v>
      </c>
      <c r="M123" s="15">
        <v>0</v>
      </c>
      <c r="N123" s="15">
        <v>0</v>
      </c>
    </row>
    <row r="124" spans="4:15">
      <c r="D124" s="36"/>
      <c r="E124" s="36"/>
      <c r="F124" s="36"/>
      <c r="G124" s="36"/>
      <c r="H124" s="36"/>
      <c r="I124" s="36"/>
      <c r="J124" s="2">
        <v>2031</v>
      </c>
      <c r="K124" s="15">
        <v>0</v>
      </c>
      <c r="L124" s="15">
        <v>0</v>
      </c>
      <c r="M124" s="15">
        <v>0</v>
      </c>
      <c r="N124" s="15">
        <v>0</v>
      </c>
    </row>
    <row r="125" spans="4:15">
      <c r="D125" s="36"/>
      <c r="E125" s="36"/>
      <c r="F125" s="36"/>
      <c r="G125" s="36"/>
      <c r="H125" s="36"/>
      <c r="I125" s="36"/>
      <c r="J125" s="2">
        <v>2032</v>
      </c>
      <c r="K125" s="15">
        <v>0</v>
      </c>
      <c r="L125" s="15">
        <v>0</v>
      </c>
      <c r="M125" s="15">
        <v>0</v>
      </c>
      <c r="N125" s="15">
        <v>0</v>
      </c>
    </row>
    <row r="126" spans="4:15">
      <c r="D126" s="36"/>
      <c r="E126" s="36"/>
      <c r="F126" s="36"/>
      <c r="G126" s="36"/>
      <c r="H126" s="36"/>
      <c r="I126" s="36"/>
      <c r="J126" s="2">
        <v>2033</v>
      </c>
      <c r="K126" s="15">
        <v>0</v>
      </c>
      <c r="L126" s="15">
        <v>0</v>
      </c>
      <c r="M126" s="15">
        <v>0</v>
      </c>
      <c r="N126" s="15">
        <v>0</v>
      </c>
    </row>
    <row r="127" spans="4:15">
      <c r="D127" s="36"/>
      <c r="E127" s="36"/>
      <c r="F127" s="36"/>
      <c r="G127" s="36"/>
      <c r="H127" s="36"/>
      <c r="I127" s="36"/>
      <c r="J127" s="2">
        <v>2034</v>
      </c>
      <c r="K127" s="15">
        <v>0</v>
      </c>
      <c r="L127" s="15">
        <v>0</v>
      </c>
      <c r="M127" s="15">
        <v>0</v>
      </c>
      <c r="N127" s="15">
        <v>0</v>
      </c>
    </row>
    <row r="128" spans="4:15">
      <c r="J128" s="2">
        <v>2035</v>
      </c>
      <c r="K128" s="15">
        <v>0</v>
      </c>
      <c r="L128" s="15">
        <v>0</v>
      </c>
      <c r="M128" s="15">
        <v>0</v>
      </c>
      <c r="N128" s="15">
        <v>0</v>
      </c>
    </row>
    <row r="130" spans="4:9">
      <c r="D130" s="15"/>
      <c r="E130" s="15"/>
      <c r="F130" s="15"/>
      <c r="G130" s="15"/>
      <c r="H130" s="15"/>
      <c r="I130" s="15"/>
    </row>
    <row r="131" spans="4:9">
      <c r="D131" s="15"/>
      <c r="E131" s="15"/>
      <c r="F131" s="15"/>
      <c r="G131" s="15"/>
      <c r="H131" s="15"/>
      <c r="I131" s="15"/>
    </row>
    <row r="132" spans="4:9">
      <c r="D132" s="15"/>
      <c r="E132" s="15"/>
      <c r="F132" s="15"/>
      <c r="G132" s="15"/>
      <c r="H132" s="15"/>
      <c r="I132" s="15"/>
    </row>
    <row r="133" spans="4:9">
      <c r="D133" s="15"/>
      <c r="E133" s="15"/>
      <c r="F133" s="15"/>
      <c r="G133" s="15"/>
      <c r="H133" s="15"/>
      <c r="I133" s="15"/>
    </row>
    <row r="134" spans="4:9">
      <c r="D134" s="15"/>
      <c r="E134" s="15"/>
      <c r="F134" s="15"/>
      <c r="G134" s="15"/>
      <c r="H134" s="15"/>
      <c r="I134" s="15"/>
    </row>
    <row r="135" spans="4:9">
      <c r="D135" s="15"/>
      <c r="E135" s="15"/>
      <c r="F135" s="15"/>
      <c r="G135" s="15"/>
      <c r="H135" s="15"/>
      <c r="I135" s="15"/>
    </row>
    <row r="136" spans="4:9">
      <c r="D136" s="15"/>
      <c r="E136" s="15"/>
      <c r="F136" s="15"/>
      <c r="G136" s="15"/>
      <c r="H136" s="15"/>
      <c r="I136" s="15"/>
    </row>
    <row r="137" spans="4:9">
      <c r="D137" s="15"/>
      <c r="E137" s="15"/>
      <c r="F137" s="15"/>
      <c r="G137" s="15"/>
      <c r="H137" s="15"/>
      <c r="I137" s="15"/>
    </row>
    <row r="138" spans="4:9">
      <c r="D138" s="15"/>
      <c r="E138" s="15"/>
      <c r="F138" s="15"/>
      <c r="G138" s="15"/>
      <c r="H138" s="15"/>
      <c r="I138" s="15"/>
    </row>
    <row r="163" spans="3:7">
      <c r="C163" s="2"/>
      <c r="D163" s="15"/>
      <c r="E163" s="15"/>
      <c r="F163" s="15"/>
      <c r="G163" s="15"/>
    </row>
    <row r="164" spans="3:7">
      <c r="C164" s="2"/>
      <c r="D164" s="15"/>
      <c r="E164" s="15"/>
      <c r="F164" s="15"/>
      <c r="G164" s="15"/>
    </row>
    <row r="165" spans="3:7">
      <c r="C165" s="2"/>
      <c r="D165" s="15"/>
      <c r="E165" s="15"/>
      <c r="F165" s="15"/>
      <c r="G165" s="15"/>
    </row>
    <row r="166" spans="3:7">
      <c r="C166" s="2"/>
      <c r="D166" s="15"/>
      <c r="E166" s="15"/>
      <c r="F166" s="15"/>
      <c r="G166" s="15"/>
    </row>
    <row r="167" spans="3:7">
      <c r="C167" s="2"/>
      <c r="D167" s="15"/>
      <c r="E167" s="15"/>
      <c r="F167" s="15"/>
      <c r="G167" s="15"/>
    </row>
    <row r="168" spans="3:7">
      <c r="C168" s="2"/>
      <c r="D168" s="15"/>
      <c r="E168" s="15"/>
      <c r="F168" s="15"/>
      <c r="G168" s="15"/>
    </row>
    <row r="169" spans="3:7">
      <c r="C169" s="2"/>
      <c r="D169" s="15"/>
      <c r="E169" s="15"/>
      <c r="F169" s="15"/>
      <c r="G169" s="15"/>
    </row>
    <row r="170" spans="3:7">
      <c r="C170" s="2"/>
      <c r="D170" s="15"/>
      <c r="E170" s="15"/>
      <c r="F170" s="15"/>
      <c r="G170" s="15"/>
    </row>
    <row r="171" spans="3:7">
      <c r="C171" s="2"/>
      <c r="D171" s="15"/>
      <c r="E171" s="15"/>
      <c r="F171" s="15"/>
      <c r="G171" s="15"/>
    </row>
    <row r="172" spans="3:7">
      <c r="C172" s="2"/>
      <c r="D172" s="15"/>
      <c r="E172" s="15"/>
      <c r="F172" s="15"/>
      <c r="G172" s="15"/>
    </row>
    <row r="173" spans="3:7">
      <c r="C173" s="2"/>
      <c r="D173" s="15"/>
      <c r="E173" s="15"/>
      <c r="F173" s="15"/>
      <c r="G173" s="15"/>
    </row>
    <row r="174" spans="3:7">
      <c r="C174" s="2"/>
      <c r="D174" s="15"/>
      <c r="E174" s="15"/>
      <c r="F174" s="15"/>
      <c r="G174" s="15"/>
    </row>
    <row r="175" spans="3:7">
      <c r="C175" s="2"/>
      <c r="D175" s="15"/>
      <c r="E175" s="15"/>
      <c r="F175" s="15"/>
      <c r="G175" s="15"/>
    </row>
    <row r="176" spans="3:7">
      <c r="C176" s="2"/>
      <c r="D176" s="15"/>
      <c r="E176" s="15"/>
      <c r="F176" s="15"/>
      <c r="G176" s="15"/>
    </row>
    <row r="177" spans="3:7">
      <c r="C177" s="2"/>
      <c r="D177" s="15"/>
      <c r="E177" s="15"/>
      <c r="F177" s="15"/>
      <c r="G177" s="15"/>
    </row>
    <row r="178" spans="3:7">
      <c r="C178" s="2"/>
      <c r="D178" s="15"/>
      <c r="E178" s="15"/>
      <c r="F178" s="15"/>
      <c r="G178" s="15"/>
    </row>
    <row r="179" spans="3:7">
      <c r="C179" s="2"/>
      <c r="D179" s="15"/>
      <c r="E179" s="15"/>
      <c r="F179" s="15"/>
      <c r="G179" s="15"/>
    </row>
    <row r="180" spans="3:7">
      <c r="C180" s="2"/>
      <c r="D180" s="15"/>
      <c r="E180" s="15"/>
      <c r="F180" s="15"/>
      <c r="G180" s="15"/>
    </row>
    <row r="181" spans="3:7">
      <c r="C181" s="2"/>
      <c r="D181" s="15"/>
      <c r="E181" s="15"/>
      <c r="F181" s="15"/>
      <c r="G181" s="15"/>
    </row>
    <row r="182" spans="3:7">
      <c r="C182" s="2"/>
      <c r="D182" s="15"/>
      <c r="E182" s="15"/>
      <c r="F182" s="15"/>
      <c r="G182" s="15"/>
    </row>
    <row r="183" spans="3:7">
      <c r="C183" s="2"/>
      <c r="D183" s="15"/>
      <c r="E183" s="15"/>
      <c r="F183" s="15"/>
      <c r="G183" s="15"/>
    </row>
    <row r="184" spans="3:7">
      <c r="C184" s="2"/>
      <c r="D184" s="15"/>
      <c r="E184" s="15"/>
      <c r="F184" s="15"/>
      <c r="G184" s="1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total</vt:lpstr>
      <vt:lpstr>Napa-SF Comp</vt:lpstr>
      <vt:lpstr>transportation</vt:lpstr>
      <vt:lpstr>electricity</vt:lpstr>
      <vt:lpstr>electricity - CO2e</vt:lpstr>
      <vt:lpstr>data for charts</vt:lpstr>
      <vt:lpstr>total!Print_Area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Wells</dc:creator>
  <cp:lastModifiedBy>Jock Gilchrist</cp:lastModifiedBy>
  <cp:lastPrinted>2019-10-07T16:45:21Z</cp:lastPrinted>
  <dcterms:created xsi:type="dcterms:W3CDTF">2019-08-29T16:20:12Z</dcterms:created>
  <dcterms:modified xsi:type="dcterms:W3CDTF">2021-08-20T21:30:06Z</dcterms:modified>
</cp:coreProperties>
</file>