
<file path=[Content_Types].xml><?xml version="1.0" encoding="utf-8"?>
<Types xmlns="http://schemas.openxmlformats.org/package/2006/content-types">
  <Default Extension="bin" ContentType="application/vnd.openxmlformats-officedocument.oleObjec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worksheets/sheet11.xml" ContentType="application/vnd.openxmlformats-officedocument.spreadsheetml.worksheet+xml"/>
  <Override PartName="/xl/chartsheets/sheet2.xml" ContentType="application/vnd.openxmlformats-officedocument.spreadsheetml.chart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chartsheets/sheet4.xml" ContentType="application/vnd.openxmlformats-officedocument.spreadsheetml.chartsheet+xml"/>
  <Override PartName="/xl/worksheets/sheet14.xml" ContentType="application/vnd.openxmlformats-officedocument.spreadsheetml.worksheet+xml"/>
  <Override PartName="/xl/chartsheets/sheet5.xml" ContentType="application/vnd.openxmlformats-officedocument.spreadsheetml.chartsheet+xml"/>
  <Override PartName="/xl/worksheets/sheet15.xml" ContentType="application/vnd.openxmlformats-officedocument.spreadsheetml.worksheet+xml"/>
  <Override PartName="/xl/chartsheets/sheet6.xml" ContentType="application/vnd.openxmlformats-officedocument.spreadsheetml.chartsheet+xml"/>
  <Override PartName="/xl/worksheets/sheet16.xml" ContentType="application/vnd.openxmlformats-officedocument.spreadsheetml.worksheet+xml"/>
  <Override PartName="/xl/chartsheets/sheet7.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rinterSettings/printerSettings1.bin" ContentType="application/vnd.openxmlformats-officedocument.spreadsheetml.printerSettings"/>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printerSettings/printerSettings2.bin" ContentType="application/vnd.openxmlformats-officedocument.spreadsheetml.printerSettings"/>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Ed\Documents\ECMC\The Climate Center\Outgoing\"/>
    </mc:Choice>
  </mc:AlternateContent>
  <xr:revisionPtr revIDLastSave="0" documentId="8_{9E563F5D-26F7-415D-968A-706D445D3469}" xr6:coauthVersionLast="46" xr6:coauthVersionMax="46" xr10:uidLastSave="{00000000-0000-0000-0000-000000000000}"/>
  <bookViews>
    <workbookView xWindow="15240" yWindow="-120" windowWidth="15600" windowHeight="11160" tabRatio="664" xr2:uid="{00000000-000D-0000-FFFF-FFFF00000000}"/>
  </bookViews>
  <sheets>
    <sheet name="Title" sheetId="36" r:id="rId1"/>
    <sheet name="How to Use" sheetId="37" r:id="rId2"/>
    <sheet name="GHG Primer" sheetId="38" r:id="rId3"/>
    <sheet name="Overview" sheetId="40" r:id="rId4"/>
    <sheet name="Glossary" sheetId="39" r:id="rId5"/>
    <sheet name="Pathways Background Calcs" sheetId="15" r:id="rId6"/>
    <sheet name="Pathways Data Alignment" sheetId="14" r:id="rId7"/>
    <sheet name="Pathways Model" sheetId="16" r:id="rId8"/>
    <sheet name="Model Column Guide" sheetId="17" r:id="rId9"/>
    <sheet name="EV Conversion Data" sheetId="18" r:id="rId10"/>
    <sheet name="EV VMT Chart" sheetId="20" r:id="rId11"/>
    <sheet name="Bldgs Gas-&gt;Elec Data" sheetId="21" r:id="rId12"/>
    <sheet name="Bldgs Gas-&gt;Elec Chart" sheetId="22" r:id="rId13"/>
    <sheet name="Electricity Sector Data" sheetId="34" r:id="rId14"/>
    <sheet name="Electricity Sector Chart" sheetId="35" r:id="rId15"/>
    <sheet name="Ind EE Ag Manure Data" sheetId="28" r:id="rId16"/>
    <sheet name="Ind EE Ag Manure Chart" sheetId="29" r:id="rId17"/>
    <sheet name="Pathway Emissions Summary Table" sheetId="24" r:id="rId18"/>
    <sheet name="Pathway Emissions Summary Chart" sheetId="25" r:id="rId19"/>
    <sheet name="Sequestration Table" sheetId="30" r:id="rId20"/>
    <sheet name="Sequestration Chart" sheetId="31" r:id="rId21"/>
    <sheet name="Pathways Sectors Net Bar Data" sheetId="32" r:id="rId22"/>
    <sheet name="Sectors Net Emissions Chart" sheetId="33" r:id="rId23"/>
  </sheets>
  <definedNames>
    <definedName name="_xlnm._FilterDatabase" localSheetId="4" hidden="1">Glossary!$A$1:$B$23</definedName>
  </definedNames>
  <calcPr calcId="191029"/>
</workbook>
</file>

<file path=xl/calcChain.xml><?xml version="1.0" encoding="utf-8"?>
<calcChain xmlns="http://schemas.openxmlformats.org/spreadsheetml/2006/main">
  <c r="AK10" i="16" l="1"/>
  <c r="C114" i="15"/>
  <c r="D115" i="15" s="1"/>
  <c r="D3" i="34"/>
  <c r="B139" i="15" l="1"/>
  <c r="B141" i="15" s="1"/>
  <c r="H124" i="15" l="1"/>
  <c r="AK3" i="16"/>
  <c r="G112" i="15"/>
  <c r="D112" i="15"/>
  <c r="C112" i="15"/>
  <c r="B112" i="15"/>
  <c r="I115" i="15" s="1" a="1"/>
  <c r="AF11" i="16"/>
  <c r="AC11" i="16"/>
  <c r="AB11" i="16"/>
  <c r="AB12" i="16"/>
  <c r="AB13" i="16"/>
  <c r="AB14" i="16"/>
  <c r="AB15" i="16"/>
  <c r="AB16" i="16"/>
  <c r="AB17" i="16"/>
  <c r="AB18" i="16"/>
  <c r="AB19" i="16"/>
  <c r="AB20" i="16"/>
  <c r="H115" i="15" l="1"/>
  <c r="G124" i="15"/>
  <c r="F124" i="15"/>
  <c r="I114" i="15" a="1"/>
  <c r="I114" i="15" s="1"/>
  <c r="AG10" i="16"/>
  <c r="AD10" i="16"/>
  <c r="AF12" i="16"/>
  <c r="AC12" i="16"/>
  <c r="H116" i="15"/>
  <c r="H117" i="15" l="1"/>
  <c r="G116" i="15"/>
  <c r="C115" i="15"/>
  <c r="G115" i="15"/>
  <c r="AC13" i="16"/>
  <c r="AF13" i="16"/>
  <c r="D116" i="15" l="1"/>
  <c r="C116" i="15" s="1"/>
  <c r="D117" i="15" s="1"/>
  <c r="I115" i="15"/>
  <c r="AK11" i="16" s="1"/>
  <c r="AG11" i="16" s="1"/>
  <c r="H118" i="15"/>
  <c r="G117" i="15"/>
  <c r="I116" i="15" a="1"/>
  <c r="AD11" i="16"/>
  <c r="AF14" i="16"/>
  <c r="AC14" i="16"/>
  <c r="G118" i="15" l="1"/>
  <c r="H119" i="15"/>
  <c r="I116" i="15"/>
  <c r="AK12" i="16" s="1"/>
  <c r="AG12" i="16" s="1"/>
  <c r="C117" i="15"/>
  <c r="AC15" i="16"/>
  <c r="AF15" i="16"/>
  <c r="G119" i="15" l="1"/>
  <c r="F119" i="15"/>
  <c r="H120" i="15"/>
  <c r="D118" i="15"/>
  <c r="I117" i="15" a="1"/>
  <c r="I117" i="15" s="1"/>
  <c r="AD12" i="16"/>
  <c r="AF16" i="16"/>
  <c r="AC16" i="16"/>
  <c r="G120" i="15" l="1"/>
  <c r="F120" i="15"/>
  <c r="H121" i="15"/>
  <c r="AK13" i="16"/>
  <c r="AD13" i="16" s="1"/>
  <c r="C118" i="15"/>
  <c r="E119" i="15" s="1"/>
  <c r="AC17" i="16"/>
  <c r="AF17" i="16"/>
  <c r="G121" i="15" l="1"/>
  <c r="F121" i="15"/>
  <c r="H122" i="15"/>
  <c r="AG13" i="16"/>
  <c r="I118" i="15" a="1"/>
  <c r="I118" i="15"/>
  <c r="AK14" i="16" s="1"/>
  <c r="D119" i="15"/>
  <c r="AF18" i="16"/>
  <c r="AC18" i="16"/>
  <c r="G122" i="15" l="1"/>
  <c r="F122" i="15"/>
  <c r="H123" i="15"/>
  <c r="C119" i="15"/>
  <c r="E120" i="15" s="1"/>
  <c r="AG14" i="16"/>
  <c r="AD14" i="16"/>
  <c r="AC19" i="16"/>
  <c r="AF19" i="16"/>
  <c r="B105" i="15"/>
  <c r="B106" i="15" s="1"/>
  <c r="AB10" i="16"/>
  <c r="B92" i="15"/>
  <c r="B93" i="15" s="1"/>
  <c r="B95" i="15" s="1"/>
  <c r="B99" i="15"/>
  <c r="B100" i="15" s="1"/>
  <c r="G123" i="15" l="1"/>
  <c r="F123" i="15"/>
  <c r="I119" i="15" a="1"/>
  <c r="I119" i="15"/>
  <c r="AK15" i="16" s="1"/>
  <c r="AG15" i="16" s="1"/>
  <c r="D120" i="15"/>
  <c r="AF20" i="16"/>
  <c r="AC20" i="16"/>
  <c r="B96" i="15"/>
  <c r="B97" i="15" s="1"/>
  <c r="BE11" i="16"/>
  <c r="BE12" i="16" s="1"/>
  <c r="BE13" i="16" s="1"/>
  <c r="BE14" i="16" s="1"/>
  <c r="BE15" i="16" s="1"/>
  <c r="BE16" i="16" s="1"/>
  <c r="BE17" i="16" s="1"/>
  <c r="BE18" i="16" s="1"/>
  <c r="BE19" i="16" s="1"/>
  <c r="BE20" i="16" s="1"/>
  <c r="B7" i="30" s="1"/>
  <c r="BD11" i="16"/>
  <c r="BD12" i="16" s="1"/>
  <c r="BD13" i="16" s="1"/>
  <c r="BD14" i="16" s="1"/>
  <c r="BD15" i="16" s="1"/>
  <c r="BD16" i="16" s="1"/>
  <c r="BD17" i="16" s="1"/>
  <c r="BD18" i="16" s="1"/>
  <c r="BD19" i="16" s="1"/>
  <c r="BD20" i="16" s="1"/>
  <c r="B8" i="30" s="1"/>
  <c r="BC11" i="16"/>
  <c r="BC12" i="16" s="1"/>
  <c r="BB11" i="16"/>
  <c r="BB12" i="16" s="1"/>
  <c r="BB13" i="16" s="1"/>
  <c r="BB14" i="16" s="1"/>
  <c r="BB15" i="16" s="1"/>
  <c r="BB16" i="16" s="1"/>
  <c r="BB17" i="16" s="1"/>
  <c r="BB18" i="16" s="1"/>
  <c r="BB19" i="16" s="1"/>
  <c r="BB20" i="16" s="1"/>
  <c r="B10" i="30" s="1"/>
  <c r="BA11" i="16"/>
  <c r="BA12" i="16" s="1"/>
  <c r="BA13" i="16" s="1"/>
  <c r="BA14" i="16" s="1"/>
  <c r="BA15" i="16" s="1"/>
  <c r="BA16" i="16" s="1"/>
  <c r="BA17" i="16" s="1"/>
  <c r="BA18" i="16" s="1"/>
  <c r="BA19" i="16" s="1"/>
  <c r="BA20" i="16" s="1"/>
  <c r="B11" i="30" s="1"/>
  <c r="AZ11" i="16"/>
  <c r="AZ12" i="16" s="1"/>
  <c r="AZ13" i="16" s="1"/>
  <c r="AZ14" i="16" s="1"/>
  <c r="AZ15" i="16" s="1"/>
  <c r="AZ16" i="16" s="1"/>
  <c r="AZ17" i="16" s="1"/>
  <c r="AZ18" i="16" s="1"/>
  <c r="AZ19" i="16" s="1"/>
  <c r="AZ20" i="16" s="1"/>
  <c r="B12" i="30" s="1"/>
  <c r="AY11" i="16"/>
  <c r="AY12" i="16" s="1"/>
  <c r="AY13" i="16" s="1"/>
  <c r="AY14" i="16" s="1"/>
  <c r="AY15" i="16" s="1"/>
  <c r="AY16" i="16" s="1"/>
  <c r="AY17" i="16" s="1"/>
  <c r="AY18" i="16" s="1"/>
  <c r="AY19" i="16" s="1"/>
  <c r="AY20" i="16" s="1"/>
  <c r="B13" i="30" s="1"/>
  <c r="AX11" i="16"/>
  <c r="AX12" i="16" s="1"/>
  <c r="AX13" i="16" s="1"/>
  <c r="AX14" i="16" s="1"/>
  <c r="AX15" i="16" s="1"/>
  <c r="AX16" i="16" s="1"/>
  <c r="AX17" i="16" s="1"/>
  <c r="AX18" i="16" s="1"/>
  <c r="AX19" i="16" s="1"/>
  <c r="AX20" i="16" s="1"/>
  <c r="B14" i="30" s="1"/>
  <c r="BF11" i="16"/>
  <c r="BF12" i="16" s="1"/>
  <c r="BF13" i="16" s="1"/>
  <c r="BF14" i="16" s="1"/>
  <c r="BF15" i="16" s="1"/>
  <c r="BF16" i="16" s="1"/>
  <c r="BF17" i="16" s="1"/>
  <c r="BF18" i="16" s="1"/>
  <c r="BF19" i="16" s="1"/>
  <c r="BF20" i="16" s="1"/>
  <c r="B6" i="30" s="1"/>
  <c r="AD15" i="16" l="1"/>
  <c r="C120" i="15"/>
  <c r="E121" i="15" s="1"/>
  <c r="BG12" i="16"/>
  <c r="BC13" i="16"/>
  <c r="BG11" i="16"/>
  <c r="I120" i="15" l="1" a="1"/>
  <c r="I120" i="15"/>
  <c r="AK16" i="16" s="1"/>
  <c r="AG16" i="16" s="1"/>
  <c r="D121" i="15"/>
  <c r="C121" i="15" s="1"/>
  <c r="E122" i="15" s="1"/>
  <c r="BC14" i="16"/>
  <c r="BG13" i="16"/>
  <c r="H28" i="14"/>
  <c r="AD16" i="16" l="1"/>
  <c r="I121" i="15" a="1"/>
  <c r="D122" i="15"/>
  <c r="I121" i="15"/>
  <c r="AK17" i="16" s="1"/>
  <c r="BC15" i="16"/>
  <c r="BG14" i="16"/>
  <c r="D4" i="28"/>
  <c r="D3" i="28"/>
  <c r="C122" i="15" l="1"/>
  <c r="E123" i="15" s="1"/>
  <c r="AD17" i="16"/>
  <c r="AG17" i="16"/>
  <c r="BC16" i="16"/>
  <c r="BG15" i="16"/>
  <c r="C11" i="24"/>
  <c r="B11" i="24"/>
  <c r="B10" i="24"/>
  <c r="D3" i="21"/>
  <c r="E3" i="18"/>
  <c r="E2" i="18"/>
  <c r="AS11" i="16"/>
  <c r="AS12" i="16" s="1"/>
  <c r="AS13" i="16" s="1"/>
  <c r="AP11" i="16"/>
  <c r="B69" i="15"/>
  <c r="B72" i="15" s="1"/>
  <c r="B67" i="15"/>
  <c r="I122" i="15" l="1" a="1"/>
  <c r="D123" i="15"/>
  <c r="I122" i="15"/>
  <c r="AK18" i="16" s="1"/>
  <c r="AG18" i="16" s="1"/>
  <c r="BC17" i="16"/>
  <c r="BG16" i="16"/>
  <c r="AP12" i="16"/>
  <c r="AP13" i="16" s="1"/>
  <c r="AS14" i="16"/>
  <c r="B63" i="15"/>
  <c r="B70" i="15" s="1"/>
  <c r="B73" i="15" s="1"/>
  <c r="B74" i="15" s="1"/>
  <c r="B75" i="15" s="1"/>
  <c r="B32" i="15"/>
  <c r="B33" i="15" s="1"/>
  <c r="B35" i="15" s="1"/>
  <c r="B36" i="15" s="1"/>
  <c r="B37" i="15" s="1"/>
  <c r="B38" i="15" s="1"/>
  <c r="R11" i="16"/>
  <c r="R12" i="16" s="1"/>
  <c r="R13" i="16" s="1"/>
  <c r="R14" i="16" s="1"/>
  <c r="R15" i="16" s="1"/>
  <c r="R16" i="16" s="1"/>
  <c r="R17" i="16" s="1"/>
  <c r="R18" i="16" s="1"/>
  <c r="R19" i="16" s="1"/>
  <c r="R20" i="16" s="1"/>
  <c r="J37" i="14"/>
  <c r="J43" i="14" s="1"/>
  <c r="J51" i="14"/>
  <c r="B86" i="15"/>
  <c r="B83" i="15"/>
  <c r="B80" i="15"/>
  <c r="B48" i="15"/>
  <c r="B50" i="15" s="1"/>
  <c r="B42" i="15"/>
  <c r="B44" i="15" s="1"/>
  <c r="B45" i="15" s="1"/>
  <c r="B46" i="15" s="1"/>
  <c r="B20" i="15"/>
  <c r="B19" i="15"/>
  <c r="F11" i="16"/>
  <c r="F12" i="16" s="1"/>
  <c r="F13" i="16" s="1"/>
  <c r="F14" i="16" s="1"/>
  <c r="F15" i="16" s="1"/>
  <c r="F16" i="16" s="1"/>
  <c r="F17" i="16" s="1"/>
  <c r="F18" i="16" s="1"/>
  <c r="F19" i="16" s="1"/>
  <c r="F20" i="16" s="1"/>
  <c r="C5" i="16"/>
  <c r="D10" i="16" s="1"/>
  <c r="B11" i="16"/>
  <c r="B12" i="16" s="1"/>
  <c r="B13" i="16" s="1"/>
  <c r="B14" i="16" s="1"/>
  <c r="B15" i="16" s="1"/>
  <c r="B16" i="16" s="1"/>
  <c r="B17" i="16" s="1"/>
  <c r="B18" i="16" s="1"/>
  <c r="B19" i="16" s="1"/>
  <c r="B20" i="16" s="1"/>
  <c r="AD18" i="16" l="1"/>
  <c r="C123" i="15"/>
  <c r="B12" i="24"/>
  <c r="T3" i="16"/>
  <c r="S12" i="16" s="1"/>
  <c r="J44" i="14"/>
  <c r="B52" i="15"/>
  <c r="B53" i="15" s="1"/>
  <c r="B55" i="15" s="1"/>
  <c r="BC18" i="16"/>
  <c r="BG17" i="16"/>
  <c r="AP14" i="16"/>
  <c r="AS15" i="16"/>
  <c r="B51" i="15"/>
  <c r="T6" i="16" s="1"/>
  <c r="T11" i="16" s="1"/>
  <c r="U11" i="16" s="1"/>
  <c r="V11" i="16" s="1"/>
  <c r="B21" i="15"/>
  <c r="B22" i="15" s="1"/>
  <c r="B23" i="15" s="1"/>
  <c r="B25" i="15" s="1"/>
  <c r="B26" i="15" s="1"/>
  <c r="B85" i="15" s="1"/>
  <c r="B87" i="15" s="1"/>
  <c r="B84" i="15"/>
  <c r="D19" i="16"/>
  <c r="D17" i="16"/>
  <c r="D15" i="16"/>
  <c r="D13" i="16"/>
  <c r="D11" i="16"/>
  <c r="D20" i="16"/>
  <c r="D18" i="16"/>
  <c r="D16" i="16"/>
  <c r="D14" i="16"/>
  <c r="D12" i="16"/>
  <c r="C10" i="16"/>
  <c r="I10" i="16" s="1"/>
  <c r="B4" i="15"/>
  <c r="B6" i="15" s="1"/>
  <c r="B7" i="15" s="1"/>
  <c r="B8" i="15" s="1"/>
  <c r="I123" i="15" l="1"/>
  <c r="AK19" i="16" s="1"/>
  <c r="AD19" i="16" s="1"/>
  <c r="E124" i="15"/>
  <c r="I123" i="15" a="1"/>
  <c r="D124" i="15"/>
  <c r="AG19" i="16"/>
  <c r="S20" i="16"/>
  <c r="C8" i="32" s="1"/>
  <c r="S17" i="16"/>
  <c r="S16" i="16"/>
  <c r="S13" i="16"/>
  <c r="S10" i="16"/>
  <c r="B8" i="32" s="1"/>
  <c r="S14" i="16"/>
  <c r="S18" i="16"/>
  <c r="S11" i="16"/>
  <c r="S15" i="16"/>
  <c r="S19" i="16"/>
  <c r="C13" i="24"/>
  <c r="B13" i="24"/>
  <c r="BC19" i="16"/>
  <c r="BG18" i="16"/>
  <c r="B9" i="21"/>
  <c r="C12" i="24"/>
  <c r="AP15" i="16"/>
  <c r="AS16" i="16"/>
  <c r="T10" i="16"/>
  <c r="U10" i="16" s="1"/>
  <c r="V10" i="16" s="1"/>
  <c r="T13" i="16"/>
  <c r="U13" i="16" s="1"/>
  <c r="V13" i="16" s="1"/>
  <c r="T18" i="16"/>
  <c r="U18" i="16" s="1"/>
  <c r="V18" i="16" s="1"/>
  <c r="T17" i="16"/>
  <c r="U17" i="16" s="1"/>
  <c r="V17" i="16" s="1"/>
  <c r="T14" i="16"/>
  <c r="U14" i="16" s="1"/>
  <c r="V14" i="16" s="1"/>
  <c r="W11" i="16"/>
  <c r="X11" i="16" s="1"/>
  <c r="T15" i="16"/>
  <c r="U15" i="16" s="1"/>
  <c r="V15" i="16" s="1"/>
  <c r="T19" i="16"/>
  <c r="U19" i="16" s="1"/>
  <c r="V19" i="16" s="1"/>
  <c r="T12" i="16"/>
  <c r="W12" i="16" s="1"/>
  <c r="X12" i="16" s="1"/>
  <c r="T16" i="16"/>
  <c r="U16" i="16" s="1"/>
  <c r="V16" i="16" s="1"/>
  <c r="T20" i="16"/>
  <c r="W20" i="16" s="1"/>
  <c r="X20" i="16" s="1"/>
  <c r="W13" i="16"/>
  <c r="X13" i="16" s="1"/>
  <c r="W10" i="16"/>
  <c r="X10" i="16" s="1"/>
  <c r="E10" i="16"/>
  <c r="C20" i="16"/>
  <c r="C18" i="16"/>
  <c r="C16" i="16"/>
  <c r="C14" i="16"/>
  <c r="C12" i="16"/>
  <c r="C11" i="16"/>
  <c r="C19" i="16"/>
  <c r="C17" i="16"/>
  <c r="C15" i="16"/>
  <c r="C13" i="16"/>
  <c r="H32" i="14"/>
  <c r="H33" i="14" s="1"/>
  <c r="K35" i="14"/>
  <c r="H62" i="14"/>
  <c r="H56" i="14"/>
  <c r="H24" i="14"/>
  <c r="H22" i="14"/>
  <c r="H21" i="14"/>
  <c r="H7" i="14"/>
  <c r="C124" i="15" l="1"/>
  <c r="I124" i="15" a="1"/>
  <c r="AN13" i="16"/>
  <c r="AE13" i="16"/>
  <c r="AN11" i="16"/>
  <c r="AE11" i="16"/>
  <c r="AN10" i="16"/>
  <c r="AE10" i="16"/>
  <c r="AE20" i="16"/>
  <c r="AN12" i="16"/>
  <c r="AE12" i="16"/>
  <c r="C9" i="21"/>
  <c r="Y13" i="16"/>
  <c r="Y20" i="16"/>
  <c r="C7" i="21" s="1"/>
  <c r="Y12" i="16"/>
  <c r="AQ10" i="16"/>
  <c r="AQ15" i="16" s="1"/>
  <c r="B9" i="24"/>
  <c r="B14" i="24"/>
  <c r="AT10" i="16"/>
  <c r="H64" i="14"/>
  <c r="B6" i="24"/>
  <c r="B8" i="24"/>
  <c r="C8" i="24"/>
  <c r="C15" i="24"/>
  <c r="B15" i="24"/>
  <c r="BC20" i="16"/>
  <c r="BG19" i="16"/>
  <c r="B7" i="24"/>
  <c r="B16" i="24" s="1"/>
  <c r="J10" i="16"/>
  <c r="B9" i="15"/>
  <c r="Y11" i="16"/>
  <c r="B8" i="21"/>
  <c r="Y10" i="16"/>
  <c r="AP16" i="16"/>
  <c r="AS17" i="16"/>
  <c r="Z10" i="16"/>
  <c r="Z20" i="16"/>
  <c r="C6" i="21" s="1"/>
  <c r="Z12" i="16"/>
  <c r="Z13" i="16"/>
  <c r="Z11" i="16"/>
  <c r="U12" i="16"/>
  <c r="V12" i="16" s="1"/>
  <c r="W18" i="16"/>
  <c r="X18" i="16" s="1"/>
  <c r="U20" i="16"/>
  <c r="V20" i="16" s="1"/>
  <c r="W15" i="16"/>
  <c r="X15" i="16" s="1"/>
  <c r="W14" i="16"/>
  <c r="X14" i="16" s="1"/>
  <c r="W17" i="16"/>
  <c r="X17" i="16" s="1"/>
  <c r="W19" i="16"/>
  <c r="X19" i="16" s="1"/>
  <c r="W16" i="16"/>
  <c r="X16" i="16" s="1"/>
  <c r="G10" i="16"/>
  <c r="H10" i="16" s="1"/>
  <c r="E15" i="16"/>
  <c r="E19" i="16"/>
  <c r="E16" i="16"/>
  <c r="E20" i="16"/>
  <c r="E17" i="16"/>
  <c r="E18" i="16"/>
  <c r="E12" i="16"/>
  <c r="E13" i="16"/>
  <c r="E11" i="16"/>
  <c r="E14" i="16"/>
  <c r="I124" i="15" l="1"/>
  <c r="AK20" i="16" s="1"/>
  <c r="AD20" i="16"/>
  <c r="C7" i="34" s="1"/>
  <c r="AN20" i="16"/>
  <c r="E11" i="34" s="1"/>
  <c r="AG20" i="16"/>
  <c r="C8" i="34" s="1"/>
  <c r="AN19" i="16"/>
  <c r="AE19" i="16"/>
  <c r="AN14" i="16"/>
  <c r="AE14" i="16"/>
  <c r="AN16" i="16"/>
  <c r="AE16" i="16"/>
  <c r="AN17" i="16"/>
  <c r="AE17" i="16"/>
  <c r="AN15" i="16"/>
  <c r="AE15" i="16"/>
  <c r="AN18" i="16"/>
  <c r="AE18" i="16"/>
  <c r="Y16" i="16"/>
  <c r="Y17" i="16"/>
  <c r="Y15" i="16"/>
  <c r="Y18" i="16"/>
  <c r="Y19" i="16"/>
  <c r="Y14" i="16"/>
  <c r="B7" i="28"/>
  <c r="AT11" i="16"/>
  <c r="AT12" i="16"/>
  <c r="AT13" i="16"/>
  <c r="AT14" i="16"/>
  <c r="AT15" i="16"/>
  <c r="AT16" i="16"/>
  <c r="B9" i="32"/>
  <c r="B6" i="28"/>
  <c r="AQ11" i="16"/>
  <c r="AQ13" i="16"/>
  <c r="AQ12" i="16"/>
  <c r="AQ14" i="16"/>
  <c r="BG20" i="16"/>
  <c r="D4" i="32" s="1"/>
  <c r="B9" i="30"/>
  <c r="B15" i="30" s="1"/>
  <c r="B7" i="18"/>
  <c r="B5" i="32"/>
  <c r="C8" i="21"/>
  <c r="AP17" i="16"/>
  <c r="AQ16" i="16"/>
  <c r="AS18" i="16"/>
  <c r="AT17" i="16"/>
  <c r="Z19" i="16"/>
  <c r="Z14" i="16"/>
  <c r="Z16" i="16"/>
  <c r="Z17" i="16"/>
  <c r="Z15" i="16"/>
  <c r="Z18" i="16"/>
  <c r="G14" i="16"/>
  <c r="H14" i="16" s="1"/>
  <c r="I14" i="16" s="1"/>
  <c r="G11" i="16"/>
  <c r="H11" i="16" s="1"/>
  <c r="I11" i="16" s="1"/>
  <c r="J11" i="16" s="1"/>
  <c r="G12" i="16"/>
  <c r="H12" i="16" s="1"/>
  <c r="G17" i="16"/>
  <c r="H17" i="16" s="1"/>
  <c r="I17" i="16" s="1"/>
  <c r="G16" i="16"/>
  <c r="H16" i="16" s="1"/>
  <c r="G15" i="16"/>
  <c r="H15" i="16" s="1"/>
  <c r="K10" i="16"/>
  <c r="N10" i="16"/>
  <c r="O10" i="16" s="1"/>
  <c r="G13" i="16"/>
  <c r="H13" i="16" s="1"/>
  <c r="G18" i="16"/>
  <c r="H18" i="16" s="1"/>
  <c r="G20" i="16"/>
  <c r="H20" i="16" s="1"/>
  <c r="K20" i="16" s="1"/>
  <c r="G19" i="16"/>
  <c r="H19" i="16" s="1"/>
  <c r="AH10" i="16" l="1"/>
  <c r="AM10" i="16"/>
  <c r="L10" i="16"/>
  <c r="B6" i="32"/>
  <c r="L20" i="16"/>
  <c r="C10" i="24" s="1"/>
  <c r="P10" i="16"/>
  <c r="AP18" i="16"/>
  <c r="AQ17" i="16"/>
  <c r="B6" i="18"/>
  <c r="B8" i="18" s="1"/>
  <c r="AS19" i="16"/>
  <c r="AT18" i="16"/>
  <c r="K16" i="16"/>
  <c r="L16" i="16" s="1"/>
  <c r="N16" i="16"/>
  <c r="O16" i="16" s="1"/>
  <c r="I16" i="16"/>
  <c r="K18" i="16"/>
  <c r="L18" i="16" s="1"/>
  <c r="N18" i="16"/>
  <c r="O18" i="16" s="1"/>
  <c r="K15" i="16"/>
  <c r="L15" i="16" s="1"/>
  <c r="N15" i="16"/>
  <c r="O15" i="16" s="1"/>
  <c r="I15" i="16"/>
  <c r="K17" i="16"/>
  <c r="L17" i="16" s="1"/>
  <c r="N17" i="16"/>
  <c r="O17" i="16" s="1"/>
  <c r="K12" i="16"/>
  <c r="L12" i="16" s="1"/>
  <c r="N12" i="16"/>
  <c r="O12" i="16" s="1"/>
  <c r="I12" i="16"/>
  <c r="J12" i="16" s="1"/>
  <c r="K11" i="16"/>
  <c r="L11" i="16" s="1"/>
  <c r="N11" i="16"/>
  <c r="O11" i="16" s="1"/>
  <c r="K14" i="16"/>
  <c r="L14" i="16" s="1"/>
  <c r="N14" i="16"/>
  <c r="O14" i="16" s="1"/>
  <c r="K19" i="16"/>
  <c r="L19" i="16" s="1"/>
  <c r="N19" i="16"/>
  <c r="O19" i="16" s="1"/>
  <c r="K13" i="16"/>
  <c r="L13" i="16" s="1"/>
  <c r="N13" i="16"/>
  <c r="O13" i="16" s="1"/>
  <c r="I13" i="16"/>
  <c r="I18" i="16"/>
  <c r="I19" i="16"/>
  <c r="N20" i="16"/>
  <c r="O20" i="16" s="1"/>
  <c r="I20" i="16"/>
  <c r="AM11" i="16" l="1"/>
  <c r="AI10" i="16"/>
  <c r="AJ10" i="16" s="1"/>
  <c r="AH12" i="16"/>
  <c r="AM12" i="16"/>
  <c r="AH17" i="16"/>
  <c r="AM17" i="16"/>
  <c r="AH16" i="16"/>
  <c r="AM16" i="16"/>
  <c r="AH20" i="16"/>
  <c r="AM20" i="16"/>
  <c r="E10" i="34" s="1"/>
  <c r="AH13" i="16"/>
  <c r="AM13" i="16"/>
  <c r="AH19" i="16"/>
  <c r="AM19" i="16"/>
  <c r="AH14" i="16"/>
  <c r="AM14" i="16"/>
  <c r="AH11" i="16"/>
  <c r="AH15" i="16"/>
  <c r="AM15" i="16"/>
  <c r="AH18" i="16"/>
  <c r="AM18" i="16"/>
  <c r="C6" i="18"/>
  <c r="AP19" i="16"/>
  <c r="AQ18" i="16"/>
  <c r="P12" i="16"/>
  <c r="P17" i="16"/>
  <c r="P16" i="16"/>
  <c r="P20" i="16"/>
  <c r="P13" i="16"/>
  <c r="P19" i="16"/>
  <c r="P14" i="16"/>
  <c r="P11" i="16"/>
  <c r="P15" i="16"/>
  <c r="P18" i="16"/>
  <c r="AS20" i="16"/>
  <c r="AT20" i="16" s="1"/>
  <c r="C9" i="32" s="1"/>
  <c r="AT19" i="16"/>
  <c r="J13" i="16"/>
  <c r="J14" i="16" s="1"/>
  <c r="J15" i="16" s="1"/>
  <c r="J16" i="16" s="1"/>
  <c r="J17" i="16" s="1"/>
  <c r="J18" i="16" s="1"/>
  <c r="J19" i="16" s="1"/>
  <c r="J20" i="16" s="1"/>
  <c r="AL10" i="16" l="1"/>
  <c r="AO10" i="16"/>
  <c r="AV10" i="16" s="1"/>
  <c r="BH10" i="16" s="1"/>
  <c r="AI18" i="16"/>
  <c r="AJ18" i="16" s="1"/>
  <c r="AI15" i="16"/>
  <c r="AJ15" i="16" s="1"/>
  <c r="AI11" i="16"/>
  <c r="AJ11" i="16" s="1"/>
  <c r="AI14" i="16"/>
  <c r="AJ14" i="16" s="1"/>
  <c r="AI19" i="16"/>
  <c r="AJ19" i="16" s="1"/>
  <c r="AI13" i="16"/>
  <c r="AJ13" i="16" s="1"/>
  <c r="AI20" i="16"/>
  <c r="AJ20" i="16" s="1"/>
  <c r="AI16" i="16"/>
  <c r="AJ16" i="16" s="1"/>
  <c r="AI17" i="16"/>
  <c r="AJ17" i="16" s="1"/>
  <c r="AI12" i="16"/>
  <c r="AJ12" i="16" s="1"/>
  <c r="C7" i="24"/>
  <c r="C5" i="32"/>
  <c r="C14" i="24"/>
  <c r="C7" i="28"/>
  <c r="AP20" i="16"/>
  <c r="AQ20" i="16" s="1"/>
  <c r="C6" i="32" s="1"/>
  <c r="AQ19" i="16"/>
  <c r="C7" i="18"/>
  <c r="C8" i="18" s="1"/>
  <c r="C5" i="18"/>
  <c r="B7" i="32" l="1"/>
  <c r="B10" i="32" s="1"/>
  <c r="AO17" i="16"/>
  <c r="AV17" i="16" s="1"/>
  <c r="BH17" i="16" s="1"/>
  <c r="AL17" i="16"/>
  <c r="AO20" i="16"/>
  <c r="F6" i="34" s="1"/>
  <c r="AL20" i="16"/>
  <c r="D9" i="34" s="1"/>
  <c r="AO19" i="16"/>
  <c r="AL19" i="16"/>
  <c r="AO11" i="16"/>
  <c r="AV11" i="16" s="1"/>
  <c r="BH11" i="16" s="1"/>
  <c r="AL11" i="16"/>
  <c r="AO18" i="16"/>
  <c r="AV18" i="16" s="1"/>
  <c r="BH18" i="16" s="1"/>
  <c r="AL18" i="16"/>
  <c r="AO12" i="16"/>
  <c r="AV12" i="16" s="1"/>
  <c r="BH12" i="16" s="1"/>
  <c r="AL12" i="16"/>
  <c r="AO16" i="16"/>
  <c r="AV16" i="16" s="1"/>
  <c r="BH16" i="16" s="1"/>
  <c r="AL16" i="16"/>
  <c r="AO13" i="16"/>
  <c r="AV13" i="16" s="1"/>
  <c r="BH13" i="16" s="1"/>
  <c r="AL13" i="16"/>
  <c r="AO14" i="16"/>
  <c r="AV14" i="16" s="1"/>
  <c r="BH14" i="16" s="1"/>
  <c r="AL14" i="16"/>
  <c r="AO15" i="16"/>
  <c r="AV15" i="16" s="1"/>
  <c r="BH15" i="16" s="1"/>
  <c r="AL15" i="16"/>
  <c r="B6" i="34"/>
  <c r="C9" i="24"/>
  <c r="C6" i="28"/>
  <c r="AV19" i="16" l="1"/>
  <c r="BH19" i="16" s="1"/>
  <c r="C7" i="32" l="1"/>
  <c r="C10" i="32" s="1"/>
  <c r="AV20" i="16"/>
  <c r="BH20" i="16" s="1"/>
  <c r="E3" i="32" s="1"/>
  <c r="C6" i="24"/>
  <c r="C16" i="24" s="1"/>
</calcChain>
</file>

<file path=xl/sharedStrings.xml><?xml version="1.0" encoding="utf-8"?>
<sst xmlns="http://schemas.openxmlformats.org/spreadsheetml/2006/main" count="688" uniqueCount="571">
  <si>
    <t>Year</t>
  </si>
  <si>
    <t>Imports</t>
  </si>
  <si>
    <t>Tonne/MWhr</t>
  </si>
  <si>
    <t>Emission Sector</t>
  </si>
  <si>
    <t>Ag &amp; Forestry</t>
  </si>
  <si>
    <t>Com'l + Resid.</t>
  </si>
  <si>
    <t>Electricity</t>
  </si>
  <si>
    <t>Industrial</t>
  </si>
  <si>
    <t>Transportation</t>
  </si>
  <si>
    <t>Sequestration</t>
  </si>
  <si>
    <t>2020 Emissions</t>
  </si>
  <si>
    <t>2030 Emissions</t>
  </si>
  <si>
    <t>Net GHG</t>
  </si>
  <si>
    <t>2030 Net</t>
  </si>
  <si>
    <t>Production</t>
  </si>
  <si>
    <t>Generation</t>
  </si>
  <si>
    <t>CHP:</t>
  </si>
  <si>
    <t>Commercial</t>
  </si>
  <si>
    <t>Merchant</t>
  </si>
  <si>
    <t>Owned</t>
  </si>
  <si>
    <t>Transmission</t>
  </si>
  <si>
    <t>and</t>
  </si>
  <si>
    <t>Distribution</t>
  </si>
  <si>
    <t>Utility</t>
  </si>
  <si>
    <t>(Imports)</t>
  </si>
  <si>
    <t>Specified</t>
  </si>
  <si>
    <t>Unspecified</t>
  </si>
  <si>
    <t>Aviation</t>
  </si>
  <si>
    <t>Not</t>
  </si>
  <si>
    <t>Off</t>
  </si>
  <si>
    <t>Road</t>
  </si>
  <si>
    <t>On</t>
  </si>
  <si>
    <t>Rail</t>
  </si>
  <si>
    <t>Water-borne</t>
  </si>
  <si>
    <t>Landfills</t>
  </si>
  <si>
    <t>Manufacturing</t>
  </si>
  <si>
    <t>Mining</t>
  </si>
  <si>
    <t>&amp;</t>
  </si>
  <si>
    <t>Petroleum</t>
  </si>
  <si>
    <t>Marketing</t>
  </si>
  <si>
    <t>Hydrogen</t>
  </si>
  <si>
    <t>Solid</t>
  </si>
  <si>
    <t>Waste</t>
  </si>
  <si>
    <t>Treatment</t>
  </si>
  <si>
    <t>Solvents</t>
  </si>
  <si>
    <t>Chemicals</t>
  </si>
  <si>
    <t>Wastewater</t>
  </si>
  <si>
    <t>Communication</t>
  </si>
  <si>
    <t>Domestic</t>
  </si>
  <si>
    <t>Utilities</t>
  </si>
  <si>
    <t>Education</t>
  </si>
  <si>
    <t>Food</t>
  </si>
  <si>
    <t>Services</t>
  </si>
  <si>
    <t>Health</t>
  </si>
  <si>
    <t>Care</t>
  </si>
  <si>
    <t>Hotels</t>
  </si>
  <si>
    <t>Landscape</t>
  </si>
  <si>
    <t>National</t>
  </si>
  <si>
    <t>Security</t>
  </si>
  <si>
    <t>Offices</t>
  </si>
  <si>
    <t>Retail</t>
  </si>
  <si>
    <t>Wholesale</t>
  </si>
  <si>
    <t>Residential</t>
  </si>
  <si>
    <t>Household</t>
  </si>
  <si>
    <t>Use</t>
  </si>
  <si>
    <t>Agriculture</t>
  </si>
  <si>
    <t>Forestry</t>
  </si>
  <si>
    <t>Ag</t>
  </si>
  <si>
    <t>Energy</t>
  </si>
  <si>
    <t>Residue</t>
  </si>
  <si>
    <t>Burning</t>
  </si>
  <si>
    <t>Soil</t>
  </si>
  <si>
    <t>Management</t>
  </si>
  <si>
    <t>Enteric</t>
  </si>
  <si>
    <t>Fermentation</t>
  </si>
  <si>
    <t>Histosol</t>
  </si>
  <si>
    <t>Cultivation</t>
  </si>
  <si>
    <t>Manure</t>
  </si>
  <si>
    <t>Rice</t>
  </si>
  <si>
    <t>Emissions</t>
  </si>
  <si>
    <t>California</t>
  </si>
  <si>
    <t>(In State)</t>
  </si>
  <si>
    <t>Oil &amp; Gas:</t>
  </si>
  <si>
    <t>&amp; Processing</t>
  </si>
  <si>
    <t>Refining and</t>
  </si>
  <si>
    <t>On Road Transportation</t>
  </si>
  <si>
    <t>Other Transportation</t>
  </si>
  <si>
    <t>Ind. Energy Efficiency Capable</t>
  </si>
  <si>
    <t>Other Industrial</t>
  </si>
  <si>
    <t>All Electricity Generation</t>
  </si>
  <si>
    <t>2017 GHG Emissions MMT/yr</t>
  </si>
  <si>
    <t>Ag Manure Mgmt</t>
  </si>
  <si>
    <t>Other Agriculture</t>
  </si>
  <si>
    <t>Refining: Non-Gasoline</t>
  </si>
  <si>
    <t>Gasoline</t>
  </si>
  <si>
    <t>billion gallons</t>
  </si>
  <si>
    <t>Diesel</t>
  </si>
  <si>
    <t>Jet fuel</t>
  </si>
  <si>
    <t>Total</t>
  </si>
  <si>
    <t>Pathways sub-sector (1)</t>
  </si>
  <si>
    <t>Footnotes:</t>
  </si>
  <si>
    <t>2019 refinery product consumption: (2)</t>
  </si>
  <si>
    <t xml:space="preserve">Refining: Gasoline </t>
  </si>
  <si>
    <t>(3)</t>
  </si>
  <si>
    <t>How do gasoline emissions based on consumption and ghg factor compare with On-Road emissions in inventory?</t>
  </si>
  <si>
    <t>2017 year</t>
  </si>
  <si>
    <t>gallons</t>
  </si>
  <si>
    <t>Emission Factor</t>
  </si>
  <si>
    <t>kg CO2eq/gal gasoline</t>
  </si>
  <si>
    <t>kg CO2eq statewide</t>
  </si>
  <si>
    <t>MT</t>
  </si>
  <si>
    <t>MMT</t>
  </si>
  <si>
    <t>2017 On-Road</t>
  </si>
  <si>
    <t>Inputs:</t>
  </si>
  <si>
    <t>of 2020</t>
  </si>
  <si>
    <t>by 2030</t>
  </si>
  <si>
    <t>Electricity demand from added EV charging</t>
  </si>
  <si>
    <t>TWh/billion gallons gasoline</t>
  </si>
  <si>
    <t>Gasoline demand reduction by EVs, billion gallons</t>
  </si>
  <si>
    <t>TWh /bill. gal. gas</t>
  </si>
  <si>
    <t>gas Wh/elect. Wh</t>
  </si>
  <si>
    <t>bill. gal.</t>
  </si>
  <si>
    <t>Gasoline sold with VMT reduction, billion gallons</t>
  </si>
  <si>
    <t>Gasoline GHG Emissions, MMT CO2eq</t>
  </si>
  <si>
    <t xml:space="preserve">Gasoline sold with VMT + EV reductions, billion gallons </t>
  </si>
  <si>
    <t>Gasoline sold to vehicles with no EV substitutes, billion gallons</t>
  </si>
  <si>
    <t>% EV conversion of amenable vehicles</t>
  </si>
  <si>
    <t>Gasoline sold to EV amenable vehicles remaining, billion gallons</t>
  </si>
  <si>
    <t>Gasoline sold for off-road uses, billion gallons</t>
  </si>
  <si>
    <t>Refinery Sub-sector Emissions, MMT CO2eq</t>
  </si>
  <si>
    <t>Combined natural gas GHG emission factor from EPA 2014 table</t>
  </si>
  <si>
    <t>CO2 direct</t>
  </si>
  <si>
    <t>CH4</t>
  </si>
  <si>
    <t>kg CO2eq/scf</t>
  </si>
  <si>
    <t>N2O</t>
  </si>
  <si>
    <t>MTCO2eq</t>
  </si>
  <si>
    <t>MMTCO2eq</t>
  </si>
  <si>
    <t>Natural Gas to kWh thermal conversion</t>
  </si>
  <si>
    <t>EPA heat value</t>
  </si>
  <si>
    <t>mmBTU/scf</t>
  </si>
  <si>
    <t>BTU/scf</t>
  </si>
  <si>
    <t>BTU/kWh</t>
  </si>
  <si>
    <t>kWh/scf</t>
  </si>
  <si>
    <t>For conversion of all natural gas to electric</t>
  </si>
  <si>
    <t>scf</t>
  </si>
  <si>
    <t>kWh</t>
  </si>
  <si>
    <t>TWh</t>
  </si>
  <si>
    <t>comml + resid</t>
  </si>
  <si>
    <t>Gas-&gt;elec conv factor</t>
  </si>
  <si>
    <t>EV conversion electricity new demand, Terawatt-hr</t>
  </si>
  <si>
    <t>Nat Gas</t>
  </si>
  <si>
    <t>of all residential GHG emissions</t>
  </si>
  <si>
    <t>Comm'l</t>
  </si>
  <si>
    <t>Comm'l + Res</t>
  </si>
  <si>
    <t>Gas Usage</t>
  </si>
  <si>
    <t>MMT CA all gas uses</t>
  </si>
  <si>
    <t>of all gas uses scf</t>
  </si>
  <si>
    <t>MMT CO2eq</t>
  </si>
  <si>
    <t>Gas Only GHG</t>
  </si>
  <si>
    <t>Com'l + Res Gas</t>
  </si>
  <si>
    <t>Com'l + Res Non-Gas</t>
  </si>
  <si>
    <t>MMT CO2eq at 2020</t>
  </si>
  <si>
    <t>Com'l + Res. % Gas to Electric Substitution</t>
  </si>
  <si>
    <t>mmscf</t>
  </si>
  <si>
    <t>mmscf 2020</t>
  </si>
  <si>
    <t>Com'l + Res Natural Gas GHG, MMT CO2eq</t>
  </si>
  <si>
    <t>Com'l + Res Natural Gas Demand, mmscf</t>
  </si>
  <si>
    <t>kWh Gas/kWh Electric</t>
  </si>
  <si>
    <t>kWh/mmscf</t>
  </si>
  <si>
    <t>TWh/mmscf</t>
  </si>
  <si>
    <t>Lost Heat Content of Natural Gas, Terawatt-hr</t>
  </si>
  <si>
    <t>Gas constant</t>
  </si>
  <si>
    <t>psia-ft3/R-lbmol</t>
  </si>
  <si>
    <t>Pressure</t>
  </si>
  <si>
    <t>Volume</t>
  </si>
  <si>
    <t>Temperature</t>
  </si>
  <si>
    <t>R</t>
  </si>
  <si>
    <t>MW</t>
  </si>
  <si>
    <t>=PV/RT</t>
  </si>
  <si>
    <t>kg/scf</t>
  </si>
  <si>
    <t>kg/mmscf</t>
  </si>
  <si>
    <t>Estimating refrigerant leakage GHG impact from E3 report fig 1-1</t>
  </si>
  <si>
    <t>All - electric home 2020</t>
  </si>
  <si>
    <t>Elect+ refrig</t>
  </si>
  <si>
    <t>refrig only</t>
  </si>
  <si>
    <t>Added Electric Heat Pump Demand, Terawatt-hr</t>
  </si>
  <si>
    <t>Electricity Sector Emission</t>
  </si>
  <si>
    <t>Mixed Fuel Case</t>
  </si>
  <si>
    <t>tons/home</t>
  </si>
  <si>
    <t>Refrigerant</t>
  </si>
  <si>
    <t>Incremental - attributed to heat pump replacing gas furnace:</t>
  </si>
  <si>
    <t>2020 conditions base case for heat pump replacing natural gas furnace - per home GHG emissions</t>
  </si>
  <si>
    <t>2017 Elect GHG coeff</t>
  </si>
  <si>
    <t>tonne/MWh</t>
  </si>
  <si>
    <t>New Heat Pump Energy</t>
  </si>
  <si>
    <t>MWh/home</t>
  </si>
  <si>
    <t>Refrigerant GHG</t>
  </si>
  <si>
    <t>tonne/TWh</t>
  </si>
  <si>
    <t>MMT CO2eq/TWh</t>
  </si>
  <si>
    <t>MMT/TWh Heat Pump Load</t>
  </si>
  <si>
    <t>MMTCO2eq/TWh</t>
  </si>
  <si>
    <t>2030 Renewable Content</t>
  </si>
  <si>
    <t>GHG Emissions, Electricity Sector, MMTCO2eq</t>
  </si>
  <si>
    <t>GHG Reduction</t>
  </si>
  <si>
    <t>by 2030 Energy Efficiency</t>
  </si>
  <si>
    <t>Reduction in GHG Emissions, Ind. Energy Efficiency Capable Sub-sector, %</t>
  </si>
  <si>
    <t>GHG Emissions, Ind. Energy Efficiency Capable Sub-sector, MMTCO2eq</t>
  </si>
  <si>
    <t>Agriculture - Manure Management</t>
  </si>
  <si>
    <t>Note - do not make changes in this worksheet.  Make changes in the Pathways Model tab.</t>
  </si>
  <si>
    <t>EV Conversion of 2020 gasoline autos by 2030</t>
  </si>
  <si>
    <t>VMT Reduction of all gasoline vehicles by 2030</t>
  </si>
  <si>
    <t>On-Road Transport</t>
  </si>
  <si>
    <t>Refinery (indirect)</t>
  </si>
  <si>
    <t>EV, VMT GHG Impact</t>
  </si>
  <si>
    <t>EV Electricity (indirect, 2017 generation mix)</t>
  </si>
  <si>
    <t>Gas Combustion</t>
  </si>
  <si>
    <t>Refrigerant Leakage</t>
  </si>
  <si>
    <t>Gas to Electric Substitution Index</t>
  </si>
  <si>
    <t>Commercial and Residential Natural Gas Heating to Electric Heat Pumps</t>
  </si>
  <si>
    <t>(3) We assume refining GHG emissions will decline proportional to total fuel production.  We further assume all gasoline consumption is to light duty vehicles (LDVs) capable of EV conversion, and all diesel vehicles are not amenable to EV conversion in the next decade.</t>
  </si>
  <si>
    <t>Off-road gasoline (1)</t>
  </si>
  <si>
    <t xml:space="preserve"> 2020 gasoline sold (2)</t>
  </si>
  <si>
    <t>(1) An arbitrary value to account for off-road gasoline sales (tractors, lawnmowers, etc.)</t>
  </si>
  <si>
    <t>(4) Currently, EVs are available to replace passenger autos, but not light trucks.  This arbitrary parameter is used to represent the amount of 2020 gasoline that will be reserved for on-road gasoline vehicles that have no EV equivalent.</t>
  </si>
  <si>
    <t>Residual gas for no EV substitutes (4)</t>
  </si>
  <si>
    <t>On-Road Transportation Sub-sector Emissions, MMT CO2eq (7)</t>
  </si>
  <si>
    <t>(7) Includes non-gasoline on-road emissions, assuming the 2020 non-gasoline emissions stay constant</t>
  </si>
  <si>
    <t>Refinery Gasoline Related Emissions, MMT CO2eq (8)</t>
  </si>
  <si>
    <t>(8) Assumes refinery GHG emissions are in proportion to each of the main transportation products sold - gasoline, diesel, and jet fuel.  Cells G26 to M30 in Pathways Data Alignment shows the relative product quantities, and is the basis for the amount of refinery emissions attributable to gasoline. Therefore, a reduction in gasoline demand from EV conversion will cause refinery emissions to drop in proportion to the drop in total transportation fuels output.  We further assume that diesel and jet fuel production, and resultant emissions, will stay constant.</t>
  </si>
  <si>
    <t>Energy Ratio (9)</t>
  </si>
  <si>
    <t>Alternate Fuels Data Center (AFDC) energy conversion table</t>
  </si>
  <si>
    <t xml:space="preserve">billion kWh/billion gallons </t>
  </si>
  <si>
    <t>kWh/gallon gasoline</t>
  </si>
  <si>
    <t>Scaling up:</t>
  </si>
  <si>
    <t>Since billion kWh = Terawatt-hr (TWh)</t>
  </si>
  <si>
    <t>(9) The thermal energy released during combustion, expressed in electrical energy terms of watt-hours.  The conversion is from the Alternate Fuels Data Center table https://afdc.energy.gov/fuels/fuel_comparison_chart.pdf.  See Background Calcs worksheet cells A10:E14 for the scaling to the value shown.</t>
  </si>
  <si>
    <t>2017 Elect. GHG Intens.(11)</t>
  </si>
  <si>
    <t>Gasoline thermal energy</t>
  </si>
  <si>
    <t>Gas/EV input energy ratio (10)</t>
  </si>
  <si>
    <t>Com'l + Res Natural Gas Demand (13)</t>
  </si>
  <si>
    <t>Useful Heat Energy Ratio, Gas to Electric (14)</t>
  </si>
  <si>
    <t>Conversion of natural gas volume to mass</t>
  </si>
  <si>
    <t>psia (standard pressure)</t>
  </si>
  <si>
    <t>F (standard temperature)</t>
  </si>
  <si>
    <t xml:space="preserve"> lbmol</t>
  </si>
  <si>
    <t>n = (moles of gas)</t>
  </si>
  <si>
    <t>assumed</t>
  </si>
  <si>
    <t xml:space="preserve">Density = </t>
  </si>
  <si>
    <t>(15) Volume conversion via ideal gas law, assuming 19 molecular weight of natural gas to allow for minor heavier components such as ethane.  See cells A26-C37 in Pathways Background Calcs sheet.</t>
  </si>
  <si>
    <t>Mass of Com'l + Res. Natural Gas Demand, MMT (15)</t>
  </si>
  <si>
    <t>Refrig Leak GHG Intensity (17)</t>
  </si>
  <si>
    <t>2017 Elec GHG Intensity (11)</t>
  </si>
  <si>
    <t>back calculated from electric emissions</t>
  </si>
  <si>
    <t>Reading off the chart to get values:</t>
  </si>
  <si>
    <t>GHGs from added heat pumps leakage, MMT CO2eq (18)</t>
  </si>
  <si>
    <t>(18)  The assumption is added refrigerant leakage will be proportional to the added power demand from new heat pumps.</t>
  </si>
  <si>
    <t>TWh - assume 2020 same</t>
  </si>
  <si>
    <t>Industrial - Other</t>
  </si>
  <si>
    <t>Com'l + Res - Other</t>
  </si>
  <si>
    <t>Ag - Other</t>
  </si>
  <si>
    <t>Industrial - Refining</t>
  </si>
  <si>
    <t>Ag - Manure Mgmt</t>
  </si>
  <si>
    <t>Com'l + Res - Nat. Gas</t>
  </si>
  <si>
    <t>Indust. - Eff. Capable</t>
  </si>
  <si>
    <t>Transport. - Other</t>
  </si>
  <si>
    <t>Transport. - On Road</t>
  </si>
  <si>
    <t>2030 VMT reduction</t>
  </si>
  <si>
    <t>&lt;-------Gasoline demand with VMT Reduction-----&gt;</t>
  </si>
  <si>
    <t>&lt;--Refinery Effects-&gt;</t>
  </si>
  <si>
    <t>&lt;--Indirect Electricity Emission from EV Charging---&gt;</t>
  </si>
  <si>
    <t>Gas not likely to be substituted (12)</t>
  </si>
  <si>
    <t>&lt;--Direct Gas Emissions-&gt;</t>
  </si>
  <si>
    <t>&lt;---Estimate Gas Leakage Effect--&gt;</t>
  </si>
  <si>
    <t>&lt;-Estimate Indirect Impacts of  New Electricity and Refrigerant Leakage-&gt;</t>
  </si>
  <si>
    <t>Industrial - Energy Efficiency Capable Sub-Sector</t>
  </si>
  <si>
    <t xml:space="preserve">&lt;---Reduce Industrial Fossil Fuel with Energy Efficiency----&gt; </t>
  </si>
  <si>
    <t>Com'l + Res Gas Sub-Sector GHGs</t>
  </si>
  <si>
    <r>
      <t xml:space="preserve">(22) </t>
    </r>
    <r>
      <rPr>
        <u/>
        <sz val="11"/>
        <color theme="1"/>
        <rFont val="Calibri"/>
        <family val="2"/>
        <scheme val="minor"/>
      </rPr>
      <t>Reinventing Fire</t>
    </r>
    <r>
      <rPr>
        <sz val="11"/>
        <color theme="1"/>
        <rFont val="Calibri"/>
        <family val="2"/>
        <scheme val="minor"/>
      </rPr>
      <t>, Amory Lovins and Rocky Mountain Institute, p. 146 Fig. 4-11 shows reductions of 44-88% of 2010 input energy (and by implication GHG emissions) are theoretically possible for a number of key heavy industries</t>
    </r>
  </si>
  <si>
    <t>New Heat Pump Electricity (indirect, 2017 generation mix)</t>
  </si>
  <si>
    <t>2030 Electricity Renewable Content</t>
  </si>
  <si>
    <t>Industrial Energy Efficiency Capable</t>
  </si>
  <si>
    <t>Ag Manure Management</t>
  </si>
  <si>
    <t>2030 Industrial Energy Efficiency Improvement</t>
  </si>
  <si>
    <t>2030 Improved Manure Management</t>
  </si>
  <si>
    <t>Reduction in GHG Emissions, Improved Manure Mgmt, Ag Sub-sector, %</t>
  </si>
  <si>
    <t>GHG Emissions, Manure Mgmt Sub-sector, MMTCO2eq</t>
  </si>
  <si>
    <t xml:space="preserve">(3) EV Conversion is addition to the EV's already on the road.  This percentage applies to the reduction of gasoline demand of existing vehicles that have EV replacements available. The term EV used here refers to battery-electric vehicles, not plug-in hybrids. </t>
  </si>
  <si>
    <t>This worksheet contains calculations to generate coefficients etc. used in the model, and other data validation</t>
  </si>
  <si>
    <t>This worksheet takes emissions data from the CARB inventory and calculates sub-sector 2020 baseline emissions used for the Pathways model.</t>
  </si>
  <si>
    <t>It is assumed the Pathways model's 2020 emissions are the same as 2017, the last year of a full statewide inventory.</t>
  </si>
  <si>
    <t>Pathways Indices Input Values in Bold Red, intended to be adjusted by the user.</t>
  </si>
  <si>
    <t>Estimated Value Input Parameters in Bold Blue, may be adjusted if more accurate values are found.</t>
  </si>
  <si>
    <t>All spreadsheet content in Black is intended to remain as is.</t>
  </si>
  <si>
    <t>GHGs From Natural Gas Use (4)</t>
  </si>
  <si>
    <t>by 2030 from Manure Mgmt</t>
  </si>
  <si>
    <t>Rangeland compost</t>
  </si>
  <si>
    <t>Pasture compost</t>
  </si>
  <si>
    <t>Cropland compost</t>
  </si>
  <si>
    <t>Agr- forestry</t>
  </si>
  <si>
    <t>Riparian restoration</t>
  </si>
  <si>
    <t>Prescribed grazing</t>
  </si>
  <si>
    <t>Urban Forest</t>
  </si>
  <si>
    <t>Roadside forest buffers</t>
  </si>
  <si>
    <t>Practice</t>
  </si>
  <si>
    <t>Rate, MTCO2eq/yr</t>
  </si>
  <si>
    <t>N fertilizer avoidance</t>
  </si>
  <si>
    <t>Rangeland compost, MMTCO2eq</t>
  </si>
  <si>
    <t>Pasture compost, MMTCO2eq</t>
  </si>
  <si>
    <t>Cropland compost, MMTCO2eq</t>
  </si>
  <si>
    <t>Agr- forestry, MMTCO2eq</t>
  </si>
  <si>
    <t>Riparian restoration, MMTCO2eq</t>
  </si>
  <si>
    <t>Prescribed grazing, MMTCO2eq</t>
  </si>
  <si>
    <t>Urban Forest, MMTCO2eq</t>
  </si>
  <si>
    <t>Roadside forest buffers, MMTCO2eq</t>
  </si>
  <si>
    <t>N fertilizer avoidance, MMTCO2eq</t>
  </si>
  <si>
    <t>Combined Annual Sequestration, MMTCO2eq</t>
  </si>
  <si>
    <t>Annual New Acres, 1000s</t>
  </si>
  <si>
    <t>Riparian Restoration</t>
  </si>
  <si>
    <t>Total All Sectors Emissions, MMTCO2eq</t>
  </si>
  <si>
    <t>Total Net GHG Emissions, MMTCO2eq</t>
  </si>
  <si>
    <t>All Green sector line items are impacted by Pathways indices and subject to reduction.</t>
  </si>
  <si>
    <t>All Red sector line items are not impacted by Pathways indices and remain the same as the 2017 baseline.</t>
  </si>
  <si>
    <t>Commercial and Residential sectors (line items in Purple) are differentiated across the board by the published fraction of emissions from Natural Gas (a Pathway index) and all other sources.</t>
  </si>
  <si>
    <t xml:space="preserve">(1) Sub-sectors are aligned with indices to differentiate those line items impacted by the indices from those that are not.  </t>
  </si>
  <si>
    <t>(2) Synthesis Report - Carbon Neutrality and California's Transportation Fossil Fuel Supply, UC Santa Barbara, October 2020, p. 37.  https://emlab.msi.ucsb.edu/sites/emlab.msi.ucsb.edu/files/Syn_Rpt_CA_CN_Study2_.pdf</t>
  </si>
  <si>
    <t>(4) "California Energy Commission, Adopted 2019 Integrated Energy Policy Report, 5/6/2020", Figure 16, page 46, https://www.energy.ca.gov/data-reports/reports/integrated-energy-policy-report/2019-integrated-energy-policy-report</t>
  </si>
  <si>
    <t>(13) "California Energy Commission, Adopted 2019 Integrated Energy Policy Report, 5/6/2020", https://www.energy.ca.gov/data-reports/reports/integrated-energy-policy-report/2019-integrated-energy-policy-report page 261: "California’s five end-use sectors...consumed 1,799,292 MMcf (million standard cubic feet) of natural gas in 2018".  Page 263 Figure 52 shows Residential consumed 24%, Commercial 12%, yielding the amount shown.  We are assuming 2020 will be the same.</t>
  </si>
  <si>
    <t xml:space="preserve">(17) "Residential Building Electrification in California", April 2019, Energy and Environmental Economics, Inc., https://www.ethree.com/wp-content/uploads/2019/04/E3_Residential_Building_Electrification_in_California_April_2019.pdf page vi, Figure 1-1.  For the 2020 case, the graph was read off to ratio the incremental increase in Refrigerant Leakage GHG emissions vs. the incremental increase in electricity demand, assuming it represented a typical gas-heated residence converted to a heat pump.  This ratio is calculated in cells A56:C73 in the Pathways Background Calcs worksheet. </t>
  </si>
  <si>
    <t xml:space="preserve">(10) "Achieving Carbon Neutrality in California", August 2020 draft, Energy and Environmental Economics, Inc., https://ww2.arb.ca.gov/sites/default/files/2020-08/e3_cn_draft_report_aug2020.pdf page 40: "...electric vehicles are about 3 times more efficient than internal combustion engine vehicles, in terms of source energy..." </t>
  </si>
  <si>
    <t>(14) "Achieving Carbon Neutrality in California", August 2020 draft, Energy and Environmental Economics, Inc., https://ww2.arb.ca.gov/sites/default/files/2020-08/e3_cn_draft_report_aug2020.pdf page 35: "...heat pumps are, on average, 3-4 times more efficient than their gas counterparts...".  Gas combustion turns 60-95% of input energy to useful heat (the rest goes up the flue), whereas heat pumps can turn one unit of input electrical energy into multiple units of useful thermal energy.  We have left the ratio at 3 to be conservative.</t>
  </si>
  <si>
    <t xml:space="preserve">(16) "Achieving Carbon Neutrality in California", August 2020 draft, Energy and Environmental Economics, Inc., https://ww2.arb.ca.gov/sites/default/files/2020-08/e3_cn_draft_report_aug2020.pdf page 124: "Methane leakage [is] calculated by multiplying the natural gas consumption by 2.8%, the most recent estimate for well-to-burner leakage from scientific literature...[to] convert [leakage] to tonnes of carbon dioxide equivalent emissions (CO2eq), [use] the 100-year mass-based global warming potential for methane of 25 [as a multiplier to the mass leakage rate].  As natural gas demand declines, we assume leakage remains proportional to usage.  </t>
  </si>
  <si>
    <t>(12) "Decarbonization of Heating Energy Use ion California Buildings", Synapse Energy Economics, October 2018. https://www.synapse-energy.com/sites/default/files/Decarbonization-Heating-CA-Buildings-17-092-1.pdf Figure 2, Page 8, shows 11% of total building natural gas usage, in the Commercial sector, is "Other" than water or space heat.  We assume these uses are highly varied and not easy to substitute, and therefore exclude this percentage from electrification.  Conversely, the Residential "Other" uses are known, such as cooking and clothes drying, for which electric alternates do exist.  We include this segment for potential electrification.</t>
  </si>
  <si>
    <t>(5) Includes CO2, CH4 and N2O components from gasoline combustion. Source - CARB Documentation of California's Greenhouse Gas Inventory (13th Edition - Last updated on 10-15-2020) https://ww3.arb.ca.gov/cc/inventory/doc/docs1/1a3bi_onroad_light-dutyvehicles_passengercars_fuelcombustion_gasoline_co2_2018.htm, https://ww3.arb.ca.gov/cc/inventory/doc/docs1/1a3bi_onroad_light-dutyvehicles_passengercars_fuelcombustion_gasoline_ch4_2018.htm, https://ww3.arb.ca.gov/cc/inventory/doc/docs1/1a3bi_onroad_light-dutyvehicles_passengercars_fuelcombustion_gasoline_n2o_2018.htm</t>
  </si>
  <si>
    <r>
      <rPr>
        <b/>
        <sz val="11"/>
        <color theme="1"/>
        <rFont val="Calibri"/>
        <family val="2"/>
        <scheme val="minor"/>
      </rPr>
      <t xml:space="preserve">(Sector and Sub-Sector Results Column Labels in Bold-&gt;)
</t>
    </r>
    <r>
      <rPr>
        <sz val="11"/>
        <color theme="1"/>
        <rFont val="Calibri"/>
        <family val="2"/>
        <scheme val="minor"/>
      </rPr>
      <t xml:space="preserve"> </t>
    </r>
    <r>
      <rPr>
        <u/>
        <sz val="11"/>
        <color theme="1"/>
        <rFont val="Calibri"/>
        <family val="2"/>
        <scheme val="minor"/>
      </rPr>
      <t>Year (23)</t>
    </r>
  </si>
  <si>
    <t>(24) https://www.cpuc.ca.gov/rps/</t>
  </si>
  <si>
    <t>&lt;----------------------Working Lands Sequestration model per Carbon Cycle Institute Report (25)-------------------------------------------&gt;</t>
  </si>
  <si>
    <t>&lt;----Digest manure to capture methane--------&gt;</t>
  </si>
  <si>
    <t>of gas delivered</t>
  </si>
  <si>
    <t>Natural Gas Mass Leakage (16)</t>
  </si>
  <si>
    <t>GHG Impact of Natural Gas Leakage, MMT CO2eq</t>
  </si>
  <si>
    <t>(23) Annual calculations and values assume a linear change in indices (each year equal rate) between 2020 and 2030</t>
  </si>
  <si>
    <t>&lt;-------------Gasoline Demand, Combustion Emissions with EV Conversion-------------&gt;</t>
  </si>
  <si>
    <t>Gasoline savings from EV conversion (3)</t>
  </si>
  <si>
    <t>&lt;----------------------------On-Road Emissions Reduction Model: Reduce Vehicle Miles Travelled (VMT) + Convert Gasoline Vehicles to Battery Electric Vehicles (EV)------------------------------------------------&gt;</t>
  </si>
  <si>
    <t>MW Behind the Meter (BTM)</t>
  </si>
  <si>
    <t>MW BTM</t>
  </si>
  <si>
    <t>Peak Capacity 2030</t>
  </si>
  <si>
    <t>Energy Production 2030</t>
  </si>
  <si>
    <t>GWh</t>
  </si>
  <si>
    <t>Annual Capacity Hours</t>
  </si>
  <si>
    <t>MWh</t>
  </si>
  <si>
    <t>h</t>
  </si>
  <si>
    <t>2018 Install Rate</t>
  </si>
  <si>
    <t>Installed Capacity End 2018</t>
  </si>
  <si>
    <t>2019-2020 Estimated Installs</t>
  </si>
  <si>
    <t>Est Capacity End 2020</t>
  </si>
  <si>
    <t>Baseline for 2020</t>
  </si>
  <si>
    <t>New BTM PV Installed</t>
  </si>
  <si>
    <t>2021-2030</t>
  </si>
  <si>
    <t>New Energy Production</t>
  </si>
  <si>
    <t>MWh by 2030</t>
  </si>
  <si>
    <t>TWh by 2030</t>
  </si>
  <si>
    <t>Conversion of "Behind the Meter" PV Installed Capacity to Energy Production - Integrated Energy Policy Report, Page 209</t>
  </si>
  <si>
    <t xml:space="preserve">(26) "2019 Energy Efficiency Action Plan", https://ww2.energy.ca.gov/business_meetings/2019_packets/2019-12-11/Item_06_2019%20California%20Energy%20Efficiency%20Action%20Plan%20(19-IEPR-06).pdf, page 46, Senate Bill 100 (De León, Chapter 312, Statutes of 2018) increases the Renewables Portfolio Standard (RPS) to 60 percent by 2030. </t>
  </si>
  <si>
    <t>SB 350 mandates 50% by 2030 (24); SB100 is 60% by 2030 (26)</t>
  </si>
  <si>
    <t>(27) "California Energy Commission, Adopted 2019 Integrated Energy Policy Report, 5/6/2020", https://www.energy.ca.gov/data-reports/reports/integrated-energy-policy-report/2019-integrated-energy-policy-report, page 209.  Highest total estimated "behind the meter" solar PV is 26,700 MW peak power by 2030.  See Pathways Background Calcs worksheet, rows 89-100, for conversion of report values to model parameters.</t>
  </si>
  <si>
    <t>2020 Baseline Actual</t>
  </si>
  <si>
    <t>2029 SB 350 Target</t>
  </si>
  <si>
    <t>GWh over 2015 "zero" baseline</t>
  </si>
  <si>
    <t>Difference</t>
  </si>
  <si>
    <t>Extrapolate to 2030</t>
  </si>
  <si>
    <t>GWh 2020-2029</t>
  </si>
  <si>
    <t>GWh 2020-2030</t>
  </si>
  <si>
    <t>(28) "2019 California Energy Efficiency Action Plan", https://ww2.energy.ca.gov/business_meetings/2019_packets/2019-12-11/Item_06_2019%20California%20Energy%20Efficiency%20Action%20Plan%20(19-IEPR-06).pdf, Page 66, Figure 21, see Pathways Background Calcs worksheet, rows 102-106 for parameter calculation</t>
  </si>
  <si>
    <t>(29) Solar PV only outputs capacity only in direct sun striking perpendicular to plane of panel.  This parameter allows for reduced solar incidence and nighttime.  See Pathways Background Calcs sheet rows 89-100 for parameter calculation.</t>
  </si>
  <si>
    <t>hr- Convert PV capacity to energy output (29)</t>
  </si>
  <si>
    <t>Natural Gas GWP Ratio (21)</t>
  </si>
  <si>
    <t>Mass CO2eq/Mass Natural Gas</t>
  </si>
  <si>
    <t>Commercial non-heating</t>
  </si>
  <si>
    <t>GWh (per SB 350) (28)</t>
  </si>
  <si>
    <t>Gas Leakage (Indirect)</t>
  </si>
  <si>
    <t>(25) Carbon Cycle Institute, "Setting an Ambitious Carbon Goal for California’s Working Lands: Analysis and Recommendations for the Climate Center", 10/26/20, www.carboncycle.org</t>
  </si>
  <si>
    <t>Annual PV Capacity Hours</t>
  </si>
  <si>
    <t>&lt;-----------------Electrification of Commericial and Residential Buildings Replacing Natural Gas for Heating Applications--------------------&gt;</t>
  </si>
  <si>
    <t>lb/kWh(1)</t>
  </si>
  <si>
    <t>(1) 2019 US average GHG intensity, EIA, https://www.eia.gov/tools/faqs/faq.php?id=74&amp;t=11</t>
  </si>
  <si>
    <t>MMTCO2e/TWh</t>
  </si>
  <si>
    <t>Unspecified (2)</t>
  </si>
  <si>
    <t>Other (incl oil) (3)</t>
  </si>
  <si>
    <t>All Renewables(4)</t>
  </si>
  <si>
    <t>Nuclear (6)</t>
  </si>
  <si>
    <t>Coal (5)</t>
  </si>
  <si>
    <t xml:space="preserve">(5) Coal eliminated from generation in 2025 per Robert Freehling </t>
  </si>
  <si>
    <t>Natural Gas (7)</t>
  </si>
  <si>
    <t>Emissions Factors</t>
  </si>
  <si>
    <t>&lt;------------------Generation from Each Source (8)----------------------------&gt;</t>
  </si>
  <si>
    <t>(8) 2020 Baseline assumed same as 2019 - CEC Energy Almanac, 2019 Total System Electric Generation, https://www.energy.ca.gov/data-reports/energy-almanac/california-electricity-data/2019-total-system-electric-generation</t>
  </si>
  <si>
    <t>MW Highest Case 2019 IEPR (27)</t>
  </si>
  <si>
    <t>(30) "2019 Energy Efficiency Action Plan", https://ww2.energy.ca.gov/business_meetings/2019_packets/2019-12-11/Item_06_2019%20California%20Energy%20Efficiency%20Action%20Plan%20(19-IEPR-06).pdf, page 53, figure 18, shows the technical limit to electrical energy efficiency savings is more than double the economic potential, and four times the 2030 market potential.</t>
  </si>
  <si>
    <t>Of SB 350 Statutory (30)</t>
  </si>
  <si>
    <t xml:space="preserve">(31) Plenty of potential for rooftop solar exists, even if IEPR's highest case is achieved. See Wikipedia, "Solar Power in California", https://en.wikipedia.org/wiki/Solar_power_in_California#:~:text=At%20the%20end%20of%202017%2C%20California%20had%20a,4%2C885%2C000%20homes%20in%20the%20state%2C%20and%20employs%20100%2C050.  "California has the technical potential to install 128.9 GW of rooftop solar panels, which would generate 194,000 GWh/year, about 74% of the total electricity used in California in 2013."  </t>
  </si>
  <si>
    <t>Of 2019 IEPR Highest Case (31)</t>
  </si>
  <si>
    <t>Source: California Energy Commission, Docket Log, Excel workbook, https://efiling.energy.ca.gov/Lists/DocketLog.aspx?docketnumber=19-IEPR-03, document 231522 dated 1/15/2020, "Form 1.2" tab, 2018 "Total_Consumption" and "Losses" (latest actual data).</t>
  </si>
  <si>
    <t>% Line Loss</t>
  </si>
  <si>
    <t>Line Losses:</t>
  </si>
  <si>
    <t>Utility Electricity Generation at Power Plant, Terawatt-hr (33)</t>
  </si>
  <si>
    <t>Forecast Generation GHG Emission Intensity, MMTCO2eq/TWh (34)</t>
  </si>
  <si>
    <t>(34) See Pathways Background Calcs tab, rows 110 through 133</t>
  </si>
  <si>
    <t>2021-30 Statutory Energy Eff.</t>
  </si>
  <si>
    <t>2021-30 IEPR PV Capacity</t>
  </si>
  <si>
    <t>(11)  California Energy Commission, Energy Almanac, https://www.energy.ca.gov/data-reports/energy-almanac/california-electricity-data/2019-total-system-electric-generation, Total California Energy Mix, System Totals.  Used as 2020 baseline for emissions from utility generation.</t>
  </si>
  <si>
    <t>EV Charging New Electricity Emissions, MMT CO2eq (19)</t>
  </si>
  <si>
    <t>(19) Assumes added load supplied by utilities, so line loss ratio is added to determine incremental generation.</t>
  </si>
  <si>
    <t>Building Electrification New Electricity Emissions, MMTCO2eq (19)</t>
  </si>
  <si>
    <t>2019 Electricity Consumption (20)</t>
  </si>
  <si>
    <t>(20) California Energy Commission, Docket Log, Excel workbook, https://efiling.energy.ca.gov/Lists/DocketLog.aspx?docketnumber=19-IEPR-03, document 231522 dated 1/15/2020, "Form 1.2" tab, 2019 Total_Consumption (latest actual data).  Total Consumption is electricity purchased from utility plus self-generation (PV and cogen).</t>
  </si>
  <si>
    <t>New Energy Efficiency Behind the Meter Consumption Reduction, Terawatt-hr</t>
  </si>
  <si>
    <t>New Solar PV Behind the Meter Self Generation, Terawatt-hr</t>
  </si>
  <si>
    <t>Electricity Transmission Losses as % of Utility Sales (at customer meter).  Generation is Consumption plus Line Losses</t>
  </si>
  <si>
    <t>2019 Consumption</t>
  </si>
  <si>
    <t>2019 Self Generation</t>
  </si>
  <si>
    <t>Utility Sales</t>
  </si>
  <si>
    <t>2019 Line Losses</t>
  </si>
  <si>
    <t>of energy delivered to customer meter</t>
  </si>
  <si>
    <t>of Utility Sales (32)</t>
  </si>
  <si>
    <t>(32) See Pathways Background Calcs tab, rows 135 through 141</t>
  </si>
  <si>
    <t>(33) At the customer meter consumption plus line losses</t>
  </si>
  <si>
    <t>Climate Safe Energy Efficiency</t>
  </si>
  <si>
    <t>New Renewable Gen</t>
  </si>
  <si>
    <t>New Building Electrification</t>
  </si>
  <si>
    <t>New EV Charging</t>
  </si>
  <si>
    <t>New PV Generation</t>
  </si>
  <si>
    <t>New Efficiency Savings</t>
  </si>
  <si>
    <t>(35) Deduct Efficiency, add EV Charging and Building Electrification Loads</t>
  </si>
  <si>
    <t>All Utility Generation</t>
  </si>
  <si>
    <t>Baseline Electricity Total Consumption, Terawatt-hr (21)</t>
  </si>
  <si>
    <t>Total Behind the Meter Consumption after Climate Safe initiatives, Terawatt-hr (35)</t>
  </si>
  <si>
    <t>&lt;--------Account for Efficiency, EVs, Bldg. Electrification--------&gt;</t>
  </si>
  <si>
    <t>&lt;---Account for New Solar PV-----&gt;</t>
  </si>
  <si>
    <t>&lt;---Translate to Utility Electricity Generation---&gt;</t>
  </si>
  <si>
    <t xml:space="preserve">&lt;----------------Emission Impacts from Utility Electricity Generation------------&gt; </t>
  </si>
  <si>
    <t>&lt;------------------------------------------------------------------------------Changes to Electricity Consumption, Utility Generation,  and GHG Emissions--------------------------------------------------------------------------&gt;</t>
  </si>
  <si>
    <t>Generation Emissions Reduction  from  Energy Efficiency, MMTCO2eq (36)</t>
  </si>
  <si>
    <t>(36) Assumes all energy savings are behind the meter, and will save line losses in proportion to overall line losses.</t>
  </si>
  <si>
    <t>Generation Emissions Reduction  from  PV, MMTCO2eq (37)</t>
  </si>
  <si>
    <t>(37) Assumes all PV generation at customer site, so will reduce line losses in proportion to overall losses.</t>
  </si>
  <si>
    <t>Utility Sales at Customer Meter, Terawatt-hr (38)</t>
  </si>
  <si>
    <t>(21) Consumption counts all electricity loads, and backs out all "behind the meter" customer generation such as rooftop PV. So that impacts of Climate Safe initiatives can be shown in isolation, we maintain the known 2019 total electric consumption as a fixed baseline in 2020-30.  In this way, the Climate Safe impacts can be modeled without the added fluctuations of the State's 2020-30 consumption forecasts.  The State forecasts changes embed, to some degree, the impacts of Climate Safe initiatives, and using the State forecasted consumption could create double counting of electricity savings or demands predicted for Climate Safe.</t>
  </si>
  <si>
    <t>Consumption backs out self-generation by adding it to sales at the meter</t>
  </si>
  <si>
    <t>(38) Utility meter sales is total consumption minus local PV generation, which reduces utility generation requirements (and line losses).</t>
  </si>
  <si>
    <t>Electricity Transmission Line Losses, Terawatt-hr (32)</t>
  </si>
  <si>
    <t>GHG Emissions Reduction from Generation Changes, MMTCO2eq (39)</t>
  </si>
  <si>
    <t>(39) The combination of generation demand, and the difference between 2020 and the modeled year's GHG emission intensity.  In other words, how much greater the GHG emissions would have been if the generation fleet remained unchanged.</t>
  </si>
  <si>
    <t>Weighted GHG Emission Factor, MMTCO2e/TWh</t>
  </si>
  <si>
    <t>(4) The 2030 value is the 2030 Climate Safe Renewable Power index input, from the Pathways Model worksheet.  The  interim years are calculated by linear interpolation from the 2020 fixed baseline.</t>
  </si>
  <si>
    <t>SB 350 Double Energy Efficiency demand reduction values taken from Figure 21, 2019 Energy Efficiency Action Plan</t>
  </si>
  <si>
    <t>Total Residential Sector</t>
  </si>
  <si>
    <t>Residential Natural Gas Combustion Emissions</t>
  </si>
  <si>
    <t>Total Commercial Sector</t>
  </si>
  <si>
    <t>of all commercial GHG emissions</t>
  </si>
  <si>
    <t>Inventory - Natural Gas Com'l + Res. Combined</t>
  </si>
  <si>
    <t>Squaring with IEPR Figure 16 Commercial and Residential GHG data with gas delivery data</t>
  </si>
  <si>
    <t>Page 261 IEPR</t>
  </si>
  <si>
    <t>CA Natural Gas usage</t>
  </si>
  <si>
    <t>Calculated rows 17 through 26 above</t>
  </si>
  <si>
    <t>Figure 52 page 263 IEPR</t>
  </si>
  <si>
    <t xml:space="preserve">MMT </t>
  </si>
  <si>
    <t>Emissions data and emissions calculated from combustion of gas supply data agree</t>
  </si>
  <si>
    <t>The remainder of on-road assumed powered by diesel fuel</t>
  </si>
  <si>
    <t>Building Electrification</t>
  </si>
  <si>
    <t>of Gas-&gt;Electricity by 2030</t>
  </si>
  <si>
    <t>Climate Safe PV Adoption</t>
  </si>
  <si>
    <t>EV new electricity emissions at 2017 GHG Intensity, MMT CO2eq</t>
  </si>
  <si>
    <t>Heat Pump new electricity emissions at 2017 GHG Intensity, MMT CO2eq</t>
  </si>
  <si>
    <t>GHG Intensity (5)</t>
  </si>
  <si>
    <t>kg CO2eq/gallon gasoline</t>
  </si>
  <si>
    <t>% Gasoline drop with VMT reduction (6)</t>
  </si>
  <si>
    <t>(6) Assumes gasoline demand is proportional to VMT, accounting for off-road set-aside.</t>
  </si>
  <si>
    <t>(2) Assume Unspecified is same GHG intensity as natural gas, declines along with natural gas with more renewable energy</t>
  </si>
  <si>
    <t>(7) Natural Gas assumed primary "swing" source to meet demands not met by other sources, as needed to bring total to 100%.</t>
  </si>
  <si>
    <t>(6) Diablo Canyon closes in 2025, decreasing nuclear share by 6% per Robert Freehling.  Drops out when renewables decrease natural gas below 10%.</t>
  </si>
  <si>
    <t>Large Hydro(9)</t>
  </si>
  <si>
    <t>(9) Large hydro diminishes as renewable increases above 70%</t>
  </si>
  <si>
    <t>Climate Safe Pathways Model</t>
  </si>
  <si>
    <t>Published By:</t>
  </si>
  <si>
    <t>The Climate Center</t>
  </si>
  <si>
    <t>Version: 1.0</t>
  </si>
  <si>
    <t>1275 4th Street #191</t>
  </si>
  <si>
    <t>Santa Rosa, CA 95404</t>
  </si>
  <si>
    <t>www.theclimatecenter.org</t>
  </si>
  <si>
    <t>Developed By:</t>
  </si>
  <si>
    <t>Edward C. Myers, Consultant</t>
  </si>
  <si>
    <t>www.ecmcwater.com</t>
  </si>
  <si>
    <t>ecmc-info@sonic.net</t>
  </si>
  <si>
    <t>Carbon Cycle Institute</t>
  </si>
  <si>
    <t>www.carboncycle.org</t>
  </si>
  <si>
    <t>Questions/Feedback:</t>
  </si>
  <si>
    <t>Projected California Utility Electricity Generation Emissions GHG Intensity from Estimated Generation Portfolio</t>
  </si>
  <si>
    <t>from gasoline sales</t>
  </si>
  <si>
    <t>Basic Instructions on Using the Climate Safe Pathways Model</t>
  </si>
  <si>
    <t>File Format:</t>
  </si>
  <si>
    <t>Microsoft Excel .xlsx (2010-2019 compatible)</t>
  </si>
  <si>
    <t>Greenhouse Gas (GHG) and Climate Primer</t>
  </si>
  <si>
    <t>GHG</t>
  </si>
  <si>
    <t>Stoichiometry</t>
  </si>
  <si>
    <t>EV</t>
  </si>
  <si>
    <t>LDV</t>
  </si>
  <si>
    <t>VMT</t>
  </si>
  <si>
    <t>N fertilizer</t>
  </si>
  <si>
    <t>GHG Emissions Intensity</t>
  </si>
  <si>
    <t>kgCO2eq/mmscf</t>
  </si>
  <si>
    <t>MTCO2eq/mmscf</t>
  </si>
  <si>
    <t>mmscf/yr</t>
  </si>
  <si>
    <t>scf/yr</t>
  </si>
  <si>
    <t>kWh/yr</t>
  </si>
  <si>
    <t>TWh/yr</t>
  </si>
  <si>
    <t>ft3 (scf)</t>
  </si>
  <si>
    <t>lb/scf</t>
  </si>
  <si>
    <t>P. 261 IEPR</t>
  </si>
  <si>
    <t>IEPR</t>
  </si>
  <si>
    <t>Figure 52, P. 263 IEPR</t>
  </si>
  <si>
    <t>2018 statewide natural gas</t>
  </si>
  <si>
    <t>heat pump</t>
  </si>
  <si>
    <t>MMT/mmscf</t>
  </si>
  <si>
    <t>PV</t>
  </si>
  <si>
    <t>(3) Assume same GHG intensity as petroleum.  Zero out if natural gas drops below 15%.</t>
  </si>
  <si>
    <t>Pathways Model - On-Road Sub-sector, Columns A to J</t>
  </si>
  <si>
    <t>On-Road GHG Indirect Effects, Columns K to P</t>
  </si>
  <si>
    <t>Bldg. Electrification: Gas Demand, Leakage, R to V</t>
  </si>
  <si>
    <t>Electrification New Demand, W to Y</t>
  </si>
  <si>
    <t>Refrigerant Leakage, Column Z</t>
  </si>
  <si>
    <t>Electricity Baseline - Column AB</t>
  </si>
  <si>
    <t>Electrical Efficiency - AC and AD</t>
  </si>
  <si>
    <t>Behind the Meter - AE to AG</t>
  </si>
  <si>
    <t>Utility Generation - AH to AJ</t>
  </si>
  <si>
    <t>Electricity Utility GHG Emissions - AK to AO</t>
  </si>
  <si>
    <t>Industrial and Agricultural - AP to AT</t>
  </si>
  <si>
    <t>Total GHG Emissions - Column AV</t>
  </si>
  <si>
    <t>Sequestration - AX to BG</t>
  </si>
  <si>
    <t>Net GHG Emissions - Column BH</t>
  </si>
  <si>
    <t>Ind. GHG Reduction (22)</t>
  </si>
  <si>
    <t>Greenhouse Gas - compounds in the atmosphere capable of absorbing and slowing the loss of radiant heat from the Earth.</t>
  </si>
  <si>
    <t>Million Metric Tons Carbon Dioxide Equivalent - The standard unit for the quantity of greenhouse gases emitted statewide.</t>
  </si>
  <si>
    <t>Electric Vehicle.  For the purposes of this model, it means battery-electric, and not plug-in hybrid.</t>
  </si>
  <si>
    <t>Kilowatt-hour, an electrical energy unit.  The average California home uses about 20 kWh per day.</t>
  </si>
  <si>
    <t>Terawatt-hour.  A billion kilowatt-hours.  California's total electricity usage is about 3/4 TWh per day.</t>
  </si>
  <si>
    <t>Light duty vehicle.  Cars, SUVs, and pickup trucks.</t>
  </si>
  <si>
    <t>Vehicle miles traveled.  A measure of total usage of vehicles statewide.</t>
  </si>
  <si>
    <t>The process of purposely removing carbon dioxide from the atmosphere, and stabilizing it in some solid carbonaceous form in the ground.</t>
  </si>
  <si>
    <t>Energy carriers</t>
  </si>
  <si>
    <t>A parameter used to convert electricity used into greenhouse gases emitted to generate the electricity, in units of mass GHGs/electrical energy.</t>
  </si>
  <si>
    <t>Million Standard Cubic Feet.  California consumes about 5,000 mmscf natural gas per day</t>
  </si>
  <si>
    <t>Standard Cubic Feet.  The volumetric measure of natural gas.  The amount in one cubic feet at atmospheric pressure and 60 degrees F.</t>
  </si>
  <si>
    <t>Integrated Energy Policy Report.  Issued by the California Energy Commission to survey all energy forms.</t>
  </si>
  <si>
    <t>Photovoltaic.  A solid state device which converts sunlight directly into electricity.</t>
  </si>
  <si>
    <t>Term</t>
  </si>
  <si>
    <t>Definition</t>
  </si>
  <si>
    <r>
      <t>The chemistry relation between fossil fuels burned and exhaust GHGs emitted.  For methane, CH</t>
    </r>
    <r>
      <rPr>
        <vertAlign val="subscript"/>
        <sz val="10"/>
        <color theme="1"/>
        <rFont val="Calibri"/>
        <family val="2"/>
        <scheme val="minor"/>
      </rPr>
      <t>4</t>
    </r>
    <r>
      <rPr>
        <sz val="10"/>
        <color theme="1"/>
        <rFont val="Calibri"/>
        <family val="2"/>
        <scheme val="minor"/>
      </rPr>
      <t xml:space="preserve"> + 2O</t>
    </r>
    <r>
      <rPr>
        <vertAlign val="subscript"/>
        <sz val="10"/>
        <color theme="1"/>
        <rFont val="Calibri"/>
        <family val="2"/>
        <scheme val="minor"/>
      </rPr>
      <t>2</t>
    </r>
    <r>
      <rPr>
        <sz val="10"/>
        <color theme="1"/>
        <rFont val="Calibri"/>
        <family val="2"/>
        <scheme val="minor"/>
      </rPr>
      <t xml:space="preserve"> -&gt; CO</t>
    </r>
    <r>
      <rPr>
        <vertAlign val="subscript"/>
        <sz val="10"/>
        <color theme="1"/>
        <rFont val="Calibri"/>
        <family val="2"/>
        <scheme val="minor"/>
      </rPr>
      <t>2</t>
    </r>
    <r>
      <rPr>
        <sz val="10"/>
        <color theme="1"/>
        <rFont val="Calibri"/>
        <family val="2"/>
        <scheme val="minor"/>
      </rPr>
      <t xml:space="preserve"> + 2H</t>
    </r>
    <r>
      <rPr>
        <vertAlign val="subscript"/>
        <sz val="10"/>
        <color theme="1"/>
        <rFont val="Calibri"/>
        <family val="2"/>
        <scheme val="minor"/>
      </rPr>
      <t>2</t>
    </r>
    <r>
      <rPr>
        <sz val="10"/>
        <color theme="1"/>
        <rFont val="Calibri"/>
        <family val="2"/>
        <scheme val="minor"/>
      </rPr>
      <t>O; each CH</t>
    </r>
    <r>
      <rPr>
        <vertAlign val="subscript"/>
        <sz val="10"/>
        <color theme="1"/>
        <rFont val="Calibri"/>
        <family val="2"/>
        <scheme val="minor"/>
      </rPr>
      <t>4</t>
    </r>
    <r>
      <rPr>
        <sz val="10"/>
        <color theme="1"/>
        <rFont val="Calibri"/>
        <family val="2"/>
        <scheme val="minor"/>
      </rPr>
      <t xml:space="preserve"> yields one CO</t>
    </r>
    <r>
      <rPr>
        <vertAlign val="subscript"/>
        <sz val="10"/>
        <color theme="1"/>
        <rFont val="Calibri"/>
        <family val="2"/>
        <scheme val="minor"/>
      </rPr>
      <t>2</t>
    </r>
    <r>
      <rPr>
        <sz val="10"/>
        <color theme="1"/>
        <rFont val="Calibri"/>
        <family val="2"/>
        <scheme val="minor"/>
      </rPr>
      <t xml:space="preserve"> molecule.</t>
    </r>
  </si>
  <si>
    <t>An electrical device than can cool buildings by moving heat from inside to outside, and heat by moving heat from outside to inside.</t>
  </si>
  <si>
    <t xml:space="preserve">Working Lands [Carbon] Sequestration Model </t>
  </si>
  <si>
    <t>developed in cooperation with:</t>
  </si>
  <si>
    <t xml:space="preserve">Synthetic nitrogenous fertilizer.  Typically, natural gas and air are reacted to make ammonia, driven by heat and pressure, producing waste CO2 </t>
  </si>
  <si>
    <t>Substances that are bought and sold to power the industrial economy, transit, indoor climate control, typically natural gas, gasoline, electricity, etc.</t>
  </si>
  <si>
    <t>Cogeneration</t>
  </si>
  <si>
    <t>pathways@theclimatecenter.org</t>
  </si>
  <si>
    <t>Date: 4/23/2021</t>
  </si>
  <si>
    <t>The Greenhouse Effect (gsu.edu)</t>
  </si>
  <si>
    <t>For a GHG technical explanation, click this link:</t>
  </si>
  <si>
    <t>Science - The Climate Center</t>
  </si>
  <si>
    <t>See The Climate Center's overview for more specifics:</t>
  </si>
  <si>
    <t xml:space="preserve">Burning a fuel to produce electricity and useful heat simultaneously.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</si>
</sst>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_(* \(#,##0\);_(* &quot;-&quot;??_);_(@_)"/>
    <numFmt numFmtId="165" formatCode="0.0"/>
    <numFmt numFmtId="166" formatCode="0.0%"/>
    <numFmt numFmtId="167" formatCode="0.0000"/>
    <numFmt numFmtId="168" formatCode="0.000"/>
    <numFmt numFmtId="169" formatCode="_(* #,##0.0_);_(* \(#,##0.0\);_(* &quot;-&quot;??_);_(@_)"/>
    <numFmt numFmtId="170" formatCode="_(* #,##0.000_);_(* \(#,##0.000\);_(* &quot;-&quot;??_);_(@_)"/>
    <numFmt numFmtId="171" formatCode="_(* #,##0.00000_);_(* \(#,##0.00000\);_(* &quot;-&quot;??_);_(@_)"/>
    <numFmt numFmtId="172" formatCode="_(* #,##0.000000_);_(* \(#,##0.000000\);_(*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0"/>
      <color indexed="12"/>
      <name val="Arial"/>
      <family val="2"/>
    </font>
    <font>
      <u/>
      <sz val="11"/>
      <color theme="10"/>
      <name val="Calibri"/>
      <family val="2"/>
      <scheme val="minor"/>
    </font>
    <font>
      <sz val="11"/>
      <color theme="1"/>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rgb="FFFF0000"/>
      <name val="Calibri"/>
      <family val="2"/>
      <scheme val="minor"/>
    </font>
    <font>
      <sz val="11"/>
      <name val="Calibri"/>
      <family val="2"/>
      <scheme val="minor"/>
    </font>
    <font>
      <sz val="11"/>
      <color rgb="FF00B050"/>
      <name val="Calibri"/>
      <family val="2"/>
      <scheme val="minor"/>
    </font>
    <font>
      <b/>
      <u/>
      <sz val="11"/>
      <color theme="1"/>
      <name val="Calibri"/>
      <family val="2"/>
      <scheme val="minor"/>
    </font>
    <font>
      <b/>
      <sz val="11"/>
      <name val="Calibri"/>
      <family val="2"/>
      <scheme val="minor"/>
    </font>
    <font>
      <b/>
      <sz val="11"/>
      <color rgb="FF00B050"/>
      <name val="Calibri"/>
      <family val="2"/>
      <scheme val="minor"/>
    </font>
    <font>
      <b/>
      <sz val="11"/>
      <color rgb="FF7030A0"/>
      <name val="Calibri"/>
      <family val="2"/>
      <scheme val="minor"/>
    </font>
    <font>
      <b/>
      <sz val="11"/>
      <color rgb="FF0070C0"/>
      <name val="Calibri"/>
      <family val="2"/>
      <scheme val="minor"/>
    </font>
    <font>
      <i/>
      <sz val="11"/>
      <color theme="1"/>
      <name val="Calibri"/>
      <family val="2"/>
      <scheme val="minor"/>
    </font>
    <font>
      <sz val="11"/>
      <color rgb="FF7030A0"/>
      <name val="Calibri"/>
      <family val="2"/>
      <scheme val="minor"/>
    </font>
    <font>
      <sz val="20"/>
      <color theme="1"/>
      <name val="Calibri"/>
      <family val="2"/>
      <scheme val="minor"/>
    </font>
    <font>
      <sz val="10"/>
      <color theme="1"/>
      <name val="Calibri"/>
      <family val="2"/>
      <scheme val="minor"/>
    </font>
    <font>
      <vertAlign val="subscript"/>
      <sz val="10"/>
      <color theme="1"/>
      <name val="Calibri"/>
      <family val="2"/>
      <scheme val="minor"/>
    </font>
    <font>
      <sz val="10"/>
      <color rgb="FF000000"/>
      <name val="Arial"/>
      <family val="2"/>
    </font>
    <font>
      <sz val="1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9FDBF"/>
        <bgColor indexed="64"/>
      </patternFill>
    </fill>
    <fill>
      <patternFill patternType="solid">
        <fgColor rgb="FF99CC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1" fillId="8" borderId="8" applyNumberFormat="0" applyFont="0" applyAlignment="0" applyProtection="0"/>
    <xf numFmtId="0" fontId="21" fillId="0" borderId="0" applyNumberFormat="0" applyFill="0" applyBorder="0" applyAlignment="0" applyProtection="0"/>
    <xf numFmtId="0" fontId="2" fillId="0" borderId="9" applyNumberFormat="0" applyFill="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9" fontId="1" fillId="0" borderId="0" applyFont="0" applyFill="0" applyBorder="0" applyAlignment="0" applyProtection="0"/>
  </cellStyleXfs>
  <cellXfs count="83">
    <xf numFmtId="0" fontId="0" fillId="0" borderId="0" xfId="0"/>
    <xf numFmtId="0" fontId="0" fillId="0" borderId="0" xfId="0" applyAlignment="1">
      <alignment horizontal="right"/>
    </xf>
    <xf numFmtId="0" fontId="3" fillId="0" borderId="0" xfId="0" applyFont="1" applyAlignment="1">
      <alignment horizontal="right"/>
    </xf>
    <xf numFmtId="0" fontId="3" fillId="0" borderId="0" xfId="0" applyFont="1" applyAlignment="1">
      <alignment horizontal="right" wrapText="1"/>
    </xf>
    <xf numFmtId="2" fontId="0" fillId="0" borderId="0" xfId="0" applyNumberFormat="1"/>
    <xf numFmtId="164" fontId="0" fillId="0" borderId="0" xfId="0" applyNumberFormat="1"/>
    <xf numFmtId="3" fontId="0" fillId="0" borderId="0" xfId="0" applyNumberFormat="1"/>
    <xf numFmtId="165" fontId="0" fillId="0" borderId="0" xfId="0" applyNumberFormat="1"/>
    <xf numFmtId="1" fontId="0" fillId="0" borderId="0" xfId="0" applyNumberFormat="1"/>
    <xf numFmtId="0" fontId="0" fillId="0" borderId="0" xfId="0" applyFont="1"/>
    <xf numFmtId="9" fontId="0" fillId="0" borderId="0" xfId="0" applyNumberFormat="1"/>
    <xf numFmtId="0" fontId="3" fillId="0" borderId="0" xfId="0" applyFont="1"/>
    <xf numFmtId="9" fontId="0" fillId="0" borderId="0" xfId="47" applyFont="1"/>
    <xf numFmtId="9" fontId="23" fillId="0" borderId="0" xfId="0" applyNumberFormat="1" applyFont="1"/>
    <xf numFmtId="0" fontId="0" fillId="0" borderId="0" xfId="0"/>
    <xf numFmtId="0" fontId="0" fillId="0" borderId="0" xfId="0"/>
    <xf numFmtId="0" fontId="2" fillId="0" borderId="0" xfId="0" applyFont="1"/>
    <xf numFmtId="0" fontId="25" fillId="0" borderId="0" xfId="0" applyFont="1"/>
    <xf numFmtId="0" fontId="20" fillId="0" borderId="0" xfId="0" applyFont="1"/>
    <xf numFmtId="0" fontId="26" fillId="0" borderId="0" xfId="0" applyFont="1" applyAlignment="1">
      <alignment horizontal="right"/>
    </xf>
    <xf numFmtId="0" fontId="26" fillId="0" borderId="0" xfId="0" applyFont="1"/>
    <xf numFmtId="0" fontId="0" fillId="0" borderId="0" xfId="0" quotePrefix="1"/>
    <xf numFmtId="0" fontId="27" fillId="0" borderId="0" xfId="0" applyFont="1"/>
    <xf numFmtId="0" fontId="0" fillId="0" borderId="0" xfId="0"/>
    <xf numFmtId="164" fontId="0" fillId="0" borderId="0" xfId="1" applyNumberFormat="1" applyFont="1"/>
    <xf numFmtId="9" fontId="0" fillId="0" borderId="0" xfId="47" applyNumberFormat="1" applyFont="1"/>
    <xf numFmtId="0" fontId="0" fillId="0" borderId="0" xfId="0"/>
    <xf numFmtId="166" fontId="0" fillId="0" borderId="0" xfId="47" applyNumberFormat="1" applyFont="1"/>
    <xf numFmtId="0" fontId="3" fillId="0" borderId="0" xfId="0" applyFont="1" applyAlignment="1">
      <alignment wrapText="1"/>
    </xf>
    <xf numFmtId="167" fontId="0" fillId="0" borderId="0" xfId="0" applyNumberFormat="1"/>
    <xf numFmtId="168" fontId="0" fillId="0" borderId="0" xfId="0" applyNumberFormat="1"/>
    <xf numFmtId="169" fontId="0" fillId="0" borderId="0" xfId="1" applyNumberFormat="1" applyFont="1"/>
    <xf numFmtId="43" fontId="0" fillId="0" borderId="0" xfId="0" applyNumberFormat="1"/>
    <xf numFmtId="170" fontId="0" fillId="0" borderId="0" xfId="0" applyNumberFormat="1"/>
    <xf numFmtId="171" fontId="0" fillId="0" borderId="0" xfId="0" applyNumberFormat="1"/>
    <xf numFmtId="172" fontId="0" fillId="0" borderId="0" xfId="0" applyNumberFormat="1"/>
    <xf numFmtId="169" fontId="0" fillId="0" borderId="0" xfId="0" applyNumberFormat="1"/>
    <xf numFmtId="165" fontId="25" fillId="0" borderId="0" xfId="0" applyNumberFormat="1" applyFont="1"/>
    <xf numFmtId="0" fontId="24" fillId="0" borderId="0" xfId="0" applyFont="1"/>
    <xf numFmtId="0" fontId="20" fillId="0" borderId="0" xfId="0" applyFont="1" applyAlignment="1">
      <alignment horizontal="right"/>
    </xf>
    <xf numFmtId="165" fontId="20" fillId="0" borderId="0" xfId="0" applyNumberFormat="1" applyFont="1"/>
    <xf numFmtId="0" fontId="0" fillId="0" borderId="0" xfId="0"/>
    <xf numFmtId="0" fontId="26" fillId="0" borderId="0" xfId="0" applyFont="1" applyAlignment="1">
      <alignment horizontal="right" wrapText="1"/>
    </xf>
    <xf numFmtId="0" fontId="28" fillId="0" borderId="0" xfId="0" applyFont="1"/>
    <xf numFmtId="0" fontId="28" fillId="0" borderId="0" xfId="0" applyFont="1" applyAlignment="1">
      <alignment horizontal="right"/>
    </xf>
    <xf numFmtId="0" fontId="29" fillId="0" borderId="0" xfId="0" applyFont="1"/>
    <xf numFmtId="0" fontId="23" fillId="0" borderId="0" xfId="0" applyFont="1"/>
    <xf numFmtId="0" fontId="0" fillId="0" borderId="0" xfId="0" applyAlignment="1">
      <alignment vertical="top"/>
    </xf>
    <xf numFmtId="0" fontId="0" fillId="0" borderId="0" xfId="0"/>
    <xf numFmtId="9" fontId="30" fillId="0" borderId="0" xfId="0" applyNumberFormat="1" applyFont="1"/>
    <xf numFmtId="0" fontId="30" fillId="0" borderId="0" xfId="0" applyFont="1"/>
    <xf numFmtId="164" fontId="30" fillId="0" borderId="0" xfId="1" applyNumberFormat="1" applyFont="1"/>
    <xf numFmtId="0" fontId="0" fillId="0" borderId="0" xfId="0" applyAlignment="1">
      <alignment horizontal="right" wrapText="1"/>
    </xf>
    <xf numFmtId="0" fontId="31" fillId="0" borderId="0" xfId="0" applyFont="1"/>
    <xf numFmtId="9" fontId="25" fillId="0" borderId="0" xfId="0" applyNumberFormat="1" applyFont="1"/>
    <xf numFmtId="0" fontId="0" fillId="0" borderId="0" xfId="0" applyAlignment="1">
      <alignment horizontal="center"/>
    </xf>
    <xf numFmtId="0" fontId="0" fillId="0" borderId="0" xfId="0"/>
    <xf numFmtId="0" fontId="0" fillId="0" borderId="0" xfId="0"/>
    <xf numFmtId="164" fontId="23" fillId="0" borderId="0" xfId="1" applyNumberFormat="1" applyFont="1"/>
    <xf numFmtId="0" fontId="32" fillId="0" borderId="0" xfId="0" applyFont="1"/>
    <xf numFmtId="0" fontId="26" fillId="0" borderId="0" xfId="0" applyFont="1" applyAlignment="1">
      <alignment wrapText="1"/>
    </xf>
    <xf numFmtId="0" fontId="0" fillId="0" borderId="0" xfId="0" applyAlignment="1">
      <alignment horizontal="center"/>
    </xf>
    <xf numFmtId="0" fontId="0" fillId="0" borderId="0" xfId="0"/>
    <xf numFmtId="0" fontId="0" fillId="0" borderId="0" xfId="0"/>
    <xf numFmtId="0" fontId="0" fillId="0" borderId="0" xfId="0"/>
    <xf numFmtId="10" fontId="0" fillId="0" borderId="0" xfId="0" applyNumberFormat="1"/>
    <xf numFmtId="166" fontId="0" fillId="0" borderId="0" xfId="0" applyNumberFormat="1"/>
    <xf numFmtId="0" fontId="31" fillId="0" borderId="0" xfId="0" applyFont="1" applyAlignment="1">
      <alignment horizontal="right"/>
    </xf>
    <xf numFmtId="2" fontId="31" fillId="0" borderId="0" xfId="0" applyNumberFormat="1" applyFont="1"/>
    <xf numFmtId="165" fontId="0" fillId="0" borderId="0" xfId="0" applyNumberFormat="1" applyFont="1"/>
    <xf numFmtId="0" fontId="23" fillId="0" borderId="0" xfId="0" applyFont="1" applyAlignment="1">
      <alignment horizontal="right"/>
    </xf>
    <xf numFmtId="0" fontId="0" fillId="0" borderId="0" xfId="0"/>
    <xf numFmtId="0" fontId="0" fillId="33" borderId="0" xfId="0" applyFill="1"/>
    <xf numFmtId="0" fontId="33" fillId="33" borderId="0" xfId="0" applyFont="1" applyFill="1"/>
    <xf numFmtId="0" fontId="4" fillId="33" borderId="0" xfId="2" applyFill="1" applyAlignment="1" applyProtection="1"/>
    <xf numFmtId="0" fontId="3" fillId="34" borderId="0" xfId="0" applyFont="1" applyFill="1"/>
    <xf numFmtId="0" fontId="0" fillId="34" borderId="0" xfId="0" applyFill="1"/>
    <xf numFmtId="0" fontId="34" fillId="34" borderId="0" xfId="0" applyFont="1" applyFill="1"/>
    <xf numFmtId="0" fontId="36" fillId="0" borderId="0" xfId="0" applyFont="1"/>
    <xf numFmtId="0" fontId="4" fillId="0" borderId="0" xfId="2" applyAlignment="1" applyProtection="1"/>
    <xf numFmtId="0" fontId="37" fillId="0" borderId="0" xfId="0" applyFont="1"/>
    <xf numFmtId="0" fontId="3" fillId="0" borderId="0" xfId="0" applyFont="1" applyAlignment="1">
      <alignment horizontal="center"/>
    </xf>
    <xf numFmtId="0" fontId="0" fillId="0" borderId="0" xfId="0" applyAlignment="1">
      <alignment horizontal="center"/>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1" builtinId="3"/>
    <cellStyle name="Comma 2" xfId="5" xr:uid="{00000000-0005-0000-0000-00001C000000}"/>
    <cellStyle name="Comma 3" xfId="4" xr:uid="{00000000-0005-0000-0000-00001D000000}"/>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2" builtinId="8" customBuiltin="1"/>
    <cellStyle name="Hyperlink 2" xfId="3" xr:uid="{00000000-0005-0000-0000-000025000000}"/>
    <cellStyle name="Input" xfId="14" builtinId="20" customBuiltin="1"/>
    <cellStyle name="Linked Cell" xfId="17" builtinId="24" customBuiltin="1"/>
    <cellStyle name="Neutral" xfId="13" builtinId="28" customBuiltin="1"/>
    <cellStyle name="Normal" xfId="0" builtinId="0"/>
    <cellStyle name="Note" xfId="20" builtinId="10" customBuiltin="1"/>
    <cellStyle name="Output" xfId="15" builtinId="21" customBuiltin="1"/>
    <cellStyle name="Percent" xfId="47"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89FB94"/>
      <color rgb="FF99CCFF"/>
      <color rgb="FFB9FDBF"/>
      <color rgb="FF006600"/>
      <color rgb="FFC8768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2.xml"/><Relationship Id="rId18" Type="http://schemas.openxmlformats.org/officeDocument/2006/relationships/worksheet" Target="worksheets/sheet1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hartsheet" Target="chartsheets/sheet6.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chartsheet" Target="chartsheets/sheet4.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worksheet" Target="worksheets/sheet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hartsheet" Target="chartsheets/sheet7.xml"/><Relationship Id="rId10" Type="http://schemas.openxmlformats.org/officeDocument/2006/relationships/worksheet" Target="worksheets/sheet10.xml"/><Relationship Id="rId19" Type="http://schemas.openxmlformats.org/officeDocument/2006/relationships/chartsheet" Target="chartsheets/sheet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2.xml"/><Relationship Id="rId22" Type="http://schemas.openxmlformats.org/officeDocument/2006/relationships/worksheet" Target="worksheets/sheet16.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GHG Emissions Impact for </a:t>
            </a:r>
            <a:r>
              <a:rPr lang="en-US" baseline="0"/>
              <a:t>VMT Reduction and EV Conversion</a:t>
            </a:r>
            <a:endParaRPr lang="en-US"/>
          </a:p>
        </c:rich>
      </c:tx>
      <c:overlay val="1"/>
    </c:title>
    <c:autoTitleDeleted val="0"/>
    <c:plotArea>
      <c:layout>
        <c:manualLayout>
          <c:layoutTarget val="inner"/>
          <c:xMode val="edge"/>
          <c:yMode val="edge"/>
          <c:x val="3.2165849607269252E-2"/>
          <c:y val="0.20160504983190355"/>
          <c:w val="0.9678341503927308"/>
          <c:h val="0.72743893057227416"/>
        </c:manualLayout>
      </c:layout>
      <c:barChart>
        <c:barDir val="col"/>
        <c:grouping val="stacked"/>
        <c:varyColors val="0"/>
        <c:ser>
          <c:idx val="0"/>
          <c:order val="0"/>
          <c:tx>
            <c:strRef>
              <c:f>'EV Conversion Data'!$A$5</c:f>
              <c:strCache>
                <c:ptCount val="1"/>
                <c:pt idx="0">
                  <c:v>EV Electricity (indirect, 2017 generation mix)</c:v>
                </c:pt>
              </c:strCache>
            </c:strRef>
          </c:tx>
          <c:spPr>
            <a:solidFill>
              <a:srgbClr val="FFC000"/>
            </a:solidFill>
            <a:scene3d>
              <a:camera prst="orthographicFront"/>
              <a:lightRig rig="threePt" dir="t"/>
            </a:scene3d>
            <a:sp3d>
              <a:bevelT/>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'EV Conversion Data'!$B$4:$C$4</c:f>
              <c:numCache>
                <c:formatCode>General</c:formatCode>
                <c:ptCount val="2"/>
                <c:pt idx="0">
                  <c:v>2020</c:v>
                </c:pt>
                <c:pt idx="1">
                  <c:v>2030</c:v>
                </c:pt>
              </c:numCache>
            </c:numRef>
          </c:cat>
          <c:val>
            <c:numRef>
              <c:f>'EV Conversion Data'!$B$5:$C$5</c:f>
              <c:numCache>
                <c:formatCode>0</c:formatCode>
                <c:ptCount val="2"/>
                <c:pt idx="1">
                  <c:v>12.92087206666667</c:v>
                </c:pt>
              </c:numCache>
            </c:numRef>
          </c:val>
          <c:extLst>
            <c:ext xmlns:c16="http://schemas.microsoft.com/office/drawing/2014/chart" uri="{C3380CC4-5D6E-409C-BE32-E72D297353CC}">
              <c16:uniqueId val="{00000000-8411-4D44-9556-3E5826236D9A}"/>
            </c:ext>
          </c:extLst>
        </c:ser>
        <c:ser>
          <c:idx val="1"/>
          <c:order val="1"/>
          <c:tx>
            <c:strRef>
              <c:f>'EV Conversion Data'!$A$6</c:f>
              <c:strCache>
                <c:ptCount val="1"/>
                <c:pt idx="0">
                  <c:v>Refinery (indirect)</c:v>
                </c:pt>
              </c:strCache>
            </c:strRef>
          </c:tx>
          <c:spPr>
            <a:solidFill>
              <a:srgbClr val="FF0000"/>
            </a:solidFill>
            <a:scene3d>
              <a:camera prst="orthographicFront"/>
              <a:lightRig rig="threePt" dir="t"/>
            </a:scene3d>
            <a:sp3d>
              <a:bevelT/>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'EV Conversion Data'!$B$4:$C$4</c:f>
              <c:numCache>
                <c:formatCode>General</c:formatCode>
                <c:ptCount val="2"/>
                <c:pt idx="0">
                  <c:v>2020</c:v>
                </c:pt>
                <c:pt idx="1">
                  <c:v>2030</c:v>
                </c:pt>
              </c:numCache>
            </c:numRef>
          </c:cat>
          <c:val>
            <c:numRef>
              <c:f>'EV Conversion Data'!$B$6:$C$6</c:f>
              <c:numCache>
                <c:formatCode>0</c:formatCode>
                <c:ptCount val="2"/>
                <c:pt idx="0">
                  <c:v>29.82</c:v>
                </c:pt>
                <c:pt idx="1">
                  <c:v>19.73032257261411</c:v>
                </c:pt>
              </c:numCache>
            </c:numRef>
          </c:val>
          <c:extLst>
            <c:ext xmlns:c16="http://schemas.microsoft.com/office/drawing/2014/chart" uri="{C3380CC4-5D6E-409C-BE32-E72D297353CC}">
              <c16:uniqueId val="{00000001-8411-4D44-9556-3E5826236D9A}"/>
            </c:ext>
          </c:extLst>
        </c:ser>
        <c:ser>
          <c:idx val="2"/>
          <c:order val="2"/>
          <c:tx>
            <c:strRef>
              <c:f>'EV Conversion Data'!$A$7</c:f>
              <c:strCache>
                <c:ptCount val="1"/>
                <c:pt idx="0">
                  <c:v>On-Road Transport</c:v>
                </c:pt>
              </c:strCache>
            </c:strRef>
          </c:tx>
          <c:spPr>
            <a:solidFill>
              <a:srgbClr val="00B050"/>
            </a:solidFill>
            <a:scene3d>
              <a:camera prst="orthographicFront"/>
              <a:lightRig rig="threePt" dir="t"/>
            </a:scene3d>
            <a:sp3d>
              <a:bevelT/>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'EV Conversion Data'!$B$4:$C$4</c:f>
              <c:numCache>
                <c:formatCode>General</c:formatCode>
                <c:ptCount val="2"/>
                <c:pt idx="0">
                  <c:v>2020</c:v>
                </c:pt>
                <c:pt idx="1">
                  <c:v>2030</c:v>
                </c:pt>
              </c:numCache>
            </c:numRef>
          </c:cat>
          <c:val>
            <c:numRef>
              <c:f>'EV Conversion Data'!$B$7:$C$7</c:f>
              <c:numCache>
                <c:formatCode>0</c:formatCode>
                <c:ptCount val="2"/>
                <c:pt idx="0">
                  <c:v>155.75</c:v>
                </c:pt>
                <c:pt idx="1">
                  <c:v>82.238985499999998</c:v>
                </c:pt>
              </c:numCache>
            </c:numRef>
          </c:val>
          <c:extLst>
            <c:ext xmlns:c16="http://schemas.microsoft.com/office/drawing/2014/chart" uri="{C3380CC4-5D6E-409C-BE32-E72D297353CC}">
              <c16:uniqueId val="{00000002-8411-4D44-9556-3E5826236D9A}"/>
            </c:ext>
          </c:extLst>
        </c:ser>
        <c:dLbls>
          <c:showLegendKey val="0"/>
          <c:showVal val="1"/>
          <c:showCatName val="0"/>
          <c:showSerName val="0"/>
          <c:showPercent val="0"/>
          <c:showBubbleSize val="0"/>
        </c:dLbls>
        <c:gapWidth val="230"/>
        <c:overlap val="100"/>
        <c:axId val="225716096"/>
        <c:axId val="225717632"/>
      </c:barChart>
      <c:catAx>
        <c:axId val="225716096"/>
        <c:scaling>
          <c:orientation val="minMax"/>
        </c:scaling>
        <c:delete val="0"/>
        <c:axPos val="b"/>
        <c:numFmt formatCode="General" sourceLinked="1"/>
        <c:majorTickMark val="none"/>
        <c:minorTickMark val="none"/>
        <c:tickLblPos val="nextTo"/>
        <c:txPr>
          <a:bodyPr/>
          <a:lstStyle/>
          <a:p>
            <a:pPr>
              <a:defRPr sz="1600"/>
            </a:pPr>
            <a:endParaRPr lang="en-US"/>
          </a:p>
        </c:txPr>
        <c:crossAx val="225717632"/>
        <c:crosses val="autoZero"/>
        <c:auto val="1"/>
        <c:lblAlgn val="ctr"/>
        <c:lblOffset val="100"/>
        <c:noMultiLvlLbl val="0"/>
      </c:catAx>
      <c:valAx>
        <c:axId val="225717632"/>
        <c:scaling>
          <c:orientation val="minMax"/>
        </c:scaling>
        <c:delete val="1"/>
        <c:axPos val="l"/>
        <c:numFmt formatCode="General" sourceLinked="1"/>
        <c:majorTickMark val="out"/>
        <c:minorTickMark val="none"/>
        <c:tickLblPos val="nextTo"/>
        <c:crossAx val="225716096"/>
        <c:crosses val="autoZero"/>
        <c:crossBetween val="between"/>
      </c:valAx>
    </c:plotArea>
    <c:legend>
      <c:legendPos val="l"/>
      <c:layout>
        <c:manualLayout>
          <c:xMode val="edge"/>
          <c:yMode val="edge"/>
          <c:x val="0.3713693545566541"/>
          <c:y val="0.3033528939056091"/>
          <c:w val="0.29044691535373629"/>
          <c:h val="0.28031686253438265"/>
        </c:manualLayout>
      </c:layout>
      <c:overlay val="1"/>
      <c:txPr>
        <a:bodyPr/>
        <a:lstStyle/>
        <a:p>
          <a:pPr>
            <a:defRPr sz="1800" b="0"/>
          </a:pPr>
          <a:endParaRPr lang="en-US"/>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GHG Emissions Impact for </a:t>
            </a:r>
            <a:r>
              <a:rPr lang="en-US" baseline="0"/>
              <a:t>Building Electrification</a:t>
            </a:r>
            <a:endParaRPr lang="en-US"/>
          </a:p>
        </c:rich>
      </c:tx>
      <c:overlay val="1"/>
    </c:title>
    <c:autoTitleDeleted val="0"/>
    <c:plotArea>
      <c:layout>
        <c:manualLayout>
          <c:layoutTarget val="inner"/>
          <c:xMode val="edge"/>
          <c:yMode val="edge"/>
          <c:x val="3.2165849607269252E-2"/>
          <c:y val="0.20160504983190355"/>
          <c:w val="0.9678341503927308"/>
          <c:h val="0.72743893057227416"/>
        </c:manualLayout>
      </c:layout>
      <c:barChart>
        <c:barDir val="col"/>
        <c:grouping val="stacked"/>
        <c:varyColors val="0"/>
        <c:ser>
          <c:idx val="0"/>
          <c:order val="0"/>
          <c:tx>
            <c:strRef>
              <c:f>'Bldgs Gas-&gt;Elec Data'!$A$6</c:f>
              <c:strCache>
                <c:ptCount val="1"/>
                <c:pt idx="0">
                  <c:v>Refrigerant Leakage</c:v>
                </c:pt>
              </c:strCache>
            </c:strRef>
          </c:tx>
          <c:spPr>
            <a:pattFill prst="pct60">
              <a:fgClr>
                <a:srgbClr val="7030A0"/>
              </a:fgClr>
              <a:bgClr>
                <a:schemeClr val="bg1"/>
              </a:bgClr>
            </a:pattFill>
            <a:scene3d>
              <a:camera prst="orthographicFront"/>
              <a:lightRig rig="threePt" dir="t"/>
            </a:scene3d>
            <a:sp3d>
              <a:bevelT/>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'Bldgs Gas-&gt;Elec Data'!$B$5:$C$5</c:f>
              <c:numCache>
                <c:formatCode>General</c:formatCode>
                <c:ptCount val="2"/>
                <c:pt idx="0">
                  <c:v>2020</c:v>
                </c:pt>
                <c:pt idx="1">
                  <c:v>2030</c:v>
                </c:pt>
              </c:numCache>
            </c:numRef>
          </c:cat>
          <c:val>
            <c:numRef>
              <c:f>'Bldgs Gas-&gt;Elec Data'!$B$6:$C$6</c:f>
              <c:numCache>
                <c:formatCode>0</c:formatCode>
                <c:ptCount val="2"/>
                <c:pt idx="1">
                  <c:v>2.5450251228863991</c:v>
                </c:pt>
              </c:numCache>
            </c:numRef>
          </c:val>
          <c:extLst>
            <c:ext xmlns:c16="http://schemas.microsoft.com/office/drawing/2014/chart" uri="{C3380CC4-5D6E-409C-BE32-E72D297353CC}">
              <c16:uniqueId val="{00000000-94DF-4233-8193-165CC5B1A03C}"/>
            </c:ext>
          </c:extLst>
        </c:ser>
        <c:ser>
          <c:idx val="1"/>
          <c:order val="1"/>
          <c:tx>
            <c:strRef>
              <c:f>'Bldgs Gas-&gt;Elec Data'!$A$7</c:f>
              <c:strCache>
                <c:ptCount val="1"/>
                <c:pt idx="0">
                  <c:v>New Heat Pump Electricity (indirect, 2017 generation mix)</c:v>
                </c:pt>
              </c:strCache>
            </c:strRef>
          </c:tx>
          <c:spPr>
            <a:solidFill>
              <a:srgbClr val="FFC000"/>
            </a:solidFill>
            <a:scene3d>
              <a:camera prst="orthographicFront"/>
              <a:lightRig rig="threePt" dir="t"/>
            </a:scene3d>
            <a:sp3d>
              <a:bevelT/>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'Bldgs Gas-&gt;Elec Data'!$B$5:$C$5</c:f>
              <c:numCache>
                <c:formatCode>General</c:formatCode>
                <c:ptCount val="2"/>
                <c:pt idx="0">
                  <c:v>2020</c:v>
                </c:pt>
                <c:pt idx="1">
                  <c:v>2030</c:v>
                </c:pt>
              </c:numCache>
            </c:numRef>
          </c:cat>
          <c:val>
            <c:numRef>
              <c:f>'Bldgs Gas-&gt;Elec Data'!$B$7:$C$7</c:f>
              <c:numCache>
                <c:formatCode>0</c:formatCode>
                <c:ptCount val="2"/>
                <c:pt idx="1">
                  <c:v>6.3625628072159985</c:v>
                </c:pt>
              </c:numCache>
            </c:numRef>
          </c:val>
          <c:extLst>
            <c:ext xmlns:c16="http://schemas.microsoft.com/office/drawing/2014/chart" uri="{C3380CC4-5D6E-409C-BE32-E72D297353CC}">
              <c16:uniqueId val="{00000001-94DF-4233-8193-165CC5B1A03C}"/>
            </c:ext>
          </c:extLst>
        </c:ser>
        <c:ser>
          <c:idx val="2"/>
          <c:order val="2"/>
          <c:tx>
            <c:strRef>
              <c:f>'Bldgs Gas-&gt;Elec Data'!$A$8</c:f>
              <c:strCache>
                <c:ptCount val="1"/>
                <c:pt idx="0">
                  <c:v>Gas Leakage (Indirect)</c:v>
                </c:pt>
              </c:strCache>
            </c:strRef>
          </c:tx>
          <c:spPr>
            <a:solidFill>
              <a:srgbClr val="FF0000"/>
            </a:solidFill>
            <a:scene3d>
              <a:camera prst="orthographicFront"/>
              <a:lightRig rig="threePt" dir="t"/>
            </a:scene3d>
            <a:sp3d>
              <a:bevelT/>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'Bldgs Gas-&gt;Elec Data'!$B$5:$C$5</c:f>
              <c:numCache>
                <c:formatCode>General</c:formatCode>
                <c:ptCount val="2"/>
                <c:pt idx="0">
                  <c:v>2020</c:v>
                </c:pt>
                <c:pt idx="1">
                  <c:v>2030</c:v>
                </c:pt>
              </c:numCache>
            </c:numRef>
          </c:cat>
          <c:val>
            <c:numRef>
              <c:f>'Bldgs Gas-&gt;Elec Data'!$B$8:$C$8</c:f>
              <c:numCache>
                <c:formatCode>0</c:formatCode>
                <c:ptCount val="2"/>
                <c:pt idx="0">
                  <c:v>10.3380121152</c:v>
                </c:pt>
                <c:pt idx="1">
                  <c:v>5.7375967239360017</c:v>
                </c:pt>
              </c:numCache>
            </c:numRef>
          </c:val>
          <c:extLst>
            <c:ext xmlns:c16="http://schemas.microsoft.com/office/drawing/2014/chart" uri="{C3380CC4-5D6E-409C-BE32-E72D297353CC}">
              <c16:uniqueId val="{00000002-94DF-4233-8193-165CC5B1A03C}"/>
            </c:ext>
          </c:extLst>
        </c:ser>
        <c:ser>
          <c:idx val="3"/>
          <c:order val="3"/>
          <c:tx>
            <c:strRef>
              <c:f>'Bldgs Gas-&gt;Elec Data'!$A$9</c:f>
              <c:strCache>
                <c:ptCount val="1"/>
                <c:pt idx="0">
                  <c:v>Gas Combustion</c:v>
                </c:pt>
              </c:strCache>
            </c:strRef>
          </c:tx>
          <c:spPr>
            <a:solidFill>
              <a:srgbClr val="7030A0"/>
            </a:solidFill>
            <a:scene3d>
              <a:camera prst="orthographicFront"/>
              <a:lightRig rig="threePt" dir="t"/>
            </a:scene3d>
            <a:sp3d>
              <a:bevelT/>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'Bldgs Gas-&gt;Elec Data'!$B$5:$C$5</c:f>
              <c:numCache>
                <c:formatCode>General</c:formatCode>
                <c:ptCount val="2"/>
                <c:pt idx="0">
                  <c:v>2020</c:v>
                </c:pt>
                <c:pt idx="1">
                  <c:v>2030</c:v>
                </c:pt>
              </c:numCache>
            </c:numRef>
          </c:cat>
          <c:val>
            <c:numRef>
              <c:f>'Bldgs Gas-&gt;Elec Data'!$B$9:$C$9</c:f>
              <c:numCache>
                <c:formatCode>0</c:formatCode>
                <c:ptCount val="2"/>
                <c:pt idx="0">
                  <c:v>35.341999999999999</c:v>
                </c:pt>
                <c:pt idx="1">
                  <c:v>19.614810000000002</c:v>
                </c:pt>
              </c:numCache>
            </c:numRef>
          </c:val>
          <c:extLst>
            <c:ext xmlns:c16="http://schemas.microsoft.com/office/drawing/2014/chart" uri="{C3380CC4-5D6E-409C-BE32-E72D297353CC}">
              <c16:uniqueId val="{00000003-94DF-4233-8193-165CC5B1A03C}"/>
            </c:ext>
          </c:extLst>
        </c:ser>
        <c:dLbls>
          <c:showLegendKey val="0"/>
          <c:showVal val="1"/>
          <c:showCatName val="0"/>
          <c:showSerName val="0"/>
          <c:showPercent val="0"/>
          <c:showBubbleSize val="0"/>
        </c:dLbls>
        <c:gapWidth val="230"/>
        <c:overlap val="100"/>
        <c:axId val="236985344"/>
        <c:axId val="236995328"/>
      </c:barChart>
      <c:catAx>
        <c:axId val="236985344"/>
        <c:scaling>
          <c:orientation val="minMax"/>
        </c:scaling>
        <c:delete val="0"/>
        <c:axPos val="b"/>
        <c:numFmt formatCode="General" sourceLinked="1"/>
        <c:majorTickMark val="none"/>
        <c:minorTickMark val="none"/>
        <c:tickLblPos val="nextTo"/>
        <c:txPr>
          <a:bodyPr/>
          <a:lstStyle/>
          <a:p>
            <a:pPr>
              <a:defRPr sz="1600"/>
            </a:pPr>
            <a:endParaRPr lang="en-US"/>
          </a:p>
        </c:txPr>
        <c:crossAx val="236995328"/>
        <c:crosses val="autoZero"/>
        <c:auto val="1"/>
        <c:lblAlgn val="ctr"/>
        <c:lblOffset val="100"/>
        <c:noMultiLvlLbl val="0"/>
      </c:catAx>
      <c:valAx>
        <c:axId val="236995328"/>
        <c:scaling>
          <c:orientation val="minMax"/>
        </c:scaling>
        <c:delete val="1"/>
        <c:axPos val="l"/>
        <c:numFmt formatCode="General" sourceLinked="1"/>
        <c:majorTickMark val="out"/>
        <c:minorTickMark val="none"/>
        <c:tickLblPos val="nextTo"/>
        <c:crossAx val="236985344"/>
        <c:crosses val="autoZero"/>
        <c:crossBetween val="between"/>
      </c:valAx>
    </c:plotArea>
    <c:legend>
      <c:legendPos val="l"/>
      <c:layout>
        <c:manualLayout>
          <c:xMode val="edge"/>
          <c:yMode val="edge"/>
          <c:x val="0.37430442274873432"/>
          <c:y val="0.33574620195179483"/>
          <c:w val="0.27354343463009567"/>
          <c:h val="0.55264755831161161"/>
        </c:manualLayout>
      </c:layout>
      <c:overlay val="1"/>
      <c:txPr>
        <a:bodyPr/>
        <a:lstStyle/>
        <a:p>
          <a:pPr>
            <a:defRPr sz="1800" b="1"/>
          </a:pPr>
          <a:endParaRPr lang="en-US"/>
        </a:p>
      </c:txPr>
    </c:legend>
    <c:plotVisOnly val="1"/>
    <c:dispBlanksAs val="gap"/>
    <c:showDLblsOverMax val="0"/>
  </c:chart>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Electricity Sector Emissions</a:t>
            </a:r>
            <a:r>
              <a:rPr lang="en-US" baseline="0"/>
              <a:t> Impacts</a:t>
            </a:r>
            <a:endParaRPr lang="en-US"/>
          </a:p>
        </c:rich>
      </c:tx>
      <c:layout>
        <c:manualLayout>
          <c:xMode val="edge"/>
          <c:yMode val="edge"/>
          <c:x val="0.25999316165679259"/>
          <c:y val="1.0122920955291282E-2"/>
        </c:manualLayout>
      </c:layout>
      <c:overlay val="1"/>
    </c:title>
    <c:autoTitleDeleted val="0"/>
    <c:plotArea>
      <c:layout>
        <c:manualLayout>
          <c:layoutTarget val="inner"/>
          <c:xMode val="edge"/>
          <c:yMode val="edge"/>
          <c:x val="0.28857615874938708"/>
          <c:y val="1.0032132347092975E-2"/>
          <c:w val="0.69677182659859827"/>
          <c:h val="0.9816382724886662"/>
        </c:manualLayout>
      </c:layout>
      <c:barChart>
        <c:barDir val="col"/>
        <c:grouping val="stacked"/>
        <c:varyColors val="0"/>
        <c:ser>
          <c:idx val="0"/>
          <c:order val="0"/>
          <c:tx>
            <c:strRef>
              <c:f>'Electricity Sector Data'!$A$6</c:f>
              <c:strCache>
                <c:ptCount val="1"/>
                <c:pt idx="0">
                  <c:v>All Utility Generation</c:v>
                </c:pt>
              </c:strCache>
            </c:strRef>
          </c:tx>
          <c:spPr>
            <a:solidFill>
              <a:srgbClr val="FFC000"/>
            </a:solidFill>
            <a:scene3d>
              <a:camera prst="orthographicFront"/>
              <a:lightRig rig="threePt" dir="t"/>
            </a:scene3d>
            <a:sp3d>
              <a:bevelT/>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'Electricity Sector Data'!$B$5:$F$5</c:f>
              <c:numCache>
                <c:formatCode>General</c:formatCode>
                <c:ptCount val="5"/>
                <c:pt idx="0">
                  <c:v>2020</c:v>
                </c:pt>
                <c:pt idx="4">
                  <c:v>2030</c:v>
                </c:pt>
              </c:numCache>
            </c:numRef>
          </c:cat>
          <c:val>
            <c:numRef>
              <c:f>'Electricity Sector Data'!$B$6:$F$6</c:f>
              <c:numCache>
                <c:formatCode>General</c:formatCode>
                <c:ptCount val="5"/>
                <c:pt idx="0" formatCode="0.0">
                  <c:v>62.453403515053587</c:v>
                </c:pt>
                <c:pt idx="4" formatCode="0.0">
                  <c:v>12.493659849549974</c:v>
                </c:pt>
              </c:numCache>
            </c:numRef>
          </c:val>
          <c:extLst>
            <c:ext xmlns:c16="http://schemas.microsoft.com/office/drawing/2014/chart" uri="{C3380CC4-5D6E-409C-BE32-E72D297353CC}">
              <c16:uniqueId val="{00000000-D9FF-42AF-9105-9A070E0C5965}"/>
            </c:ext>
          </c:extLst>
        </c:ser>
        <c:ser>
          <c:idx val="1"/>
          <c:order val="1"/>
          <c:tx>
            <c:strRef>
              <c:f>'Electricity Sector Data'!$A$7</c:f>
              <c:strCache>
                <c:ptCount val="1"/>
                <c:pt idx="0">
                  <c:v>New Efficiency Savings</c:v>
                </c:pt>
              </c:strCache>
            </c:strRef>
          </c:tx>
          <c:spPr>
            <a:solidFill>
              <a:srgbClr val="006600">
                <a:alpha val="86000"/>
              </a:srgbClr>
            </a:solidFill>
            <a:scene3d>
              <a:camera prst="orthographicFront"/>
              <a:lightRig rig="threePt" dir="t"/>
            </a:scene3d>
            <a:sp3d>
              <a:bevelT/>
              <a:bevelB/>
            </a:sp3d>
          </c:spPr>
          <c:invertIfNegative val="0"/>
          <c:dLbls>
            <c:spPr>
              <a:noFill/>
              <a:ln>
                <a:noFill/>
              </a:ln>
              <a:effectLst/>
            </c:spPr>
            <c:txPr>
              <a:bodyPr/>
              <a:lstStyle/>
              <a:p>
                <a:pPr>
                  <a:defRPr sz="12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'Electricity Sector Data'!$B$5:$F$5</c:f>
              <c:numCache>
                <c:formatCode>General</c:formatCode>
                <c:ptCount val="5"/>
                <c:pt idx="0">
                  <c:v>2020</c:v>
                </c:pt>
                <c:pt idx="4">
                  <c:v>2030</c:v>
                </c:pt>
              </c:numCache>
            </c:numRef>
          </c:cat>
          <c:val>
            <c:numRef>
              <c:f>'Electricity Sector Data'!$B$7:$F$7</c:f>
              <c:numCache>
                <c:formatCode>0.0</c:formatCode>
                <c:ptCount val="5"/>
                <c:pt idx="1">
                  <c:v>-5.7458583427090497</c:v>
                </c:pt>
              </c:numCache>
            </c:numRef>
          </c:val>
          <c:extLst>
            <c:ext xmlns:c16="http://schemas.microsoft.com/office/drawing/2014/chart" uri="{C3380CC4-5D6E-409C-BE32-E72D297353CC}">
              <c16:uniqueId val="{00000001-D9FF-42AF-9105-9A070E0C5965}"/>
            </c:ext>
          </c:extLst>
        </c:ser>
        <c:ser>
          <c:idx val="2"/>
          <c:order val="2"/>
          <c:tx>
            <c:strRef>
              <c:f>'Electricity Sector Data'!$A$8</c:f>
              <c:strCache>
                <c:ptCount val="1"/>
                <c:pt idx="0">
                  <c:v>New PV Generation</c:v>
                </c:pt>
              </c:strCache>
            </c:strRef>
          </c:tx>
          <c:spPr>
            <a:solidFill>
              <a:srgbClr val="7030A0">
                <a:alpha val="68000"/>
              </a:srgbClr>
            </a:solidFill>
            <a:scene3d>
              <a:camera prst="orthographicFront"/>
              <a:lightRig rig="threePt" dir="t"/>
            </a:scene3d>
            <a:sp3d>
              <a:bevelT w="38100" h="38100"/>
              <a:bevelB w="38100" h="38100"/>
            </a:sp3d>
          </c:spPr>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'Electricity Sector Data'!$B$5:$F$5</c:f>
              <c:numCache>
                <c:formatCode>General</c:formatCode>
                <c:ptCount val="5"/>
                <c:pt idx="0">
                  <c:v>2020</c:v>
                </c:pt>
                <c:pt idx="4">
                  <c:v>2030</c:v>
                </c:pt>
              </c:numCache>
            </c:numRef>
          </c:cat>
          <c:val>
            <c:numRef>
              <c:f>'Electricity Sector Data'!$B$8:$F$8</c:f>
              <c:numCache>
                <c:formatCode>0.0</c:formatCode>
                <c:ptCount val="5"/>
                <c:pt idx="1">
                  <c:v>-2.3596324927391832</c:v>
                </c:pt>
              </c:numCache>
            </c:numRef>
          </c:val>
          <c:extLst>
            <c:ext xmlns:c16="http://schemas.microsoft.com/office/drawing/2014/chart" uri="{C3380CC4-5D6E-409C-BE32-E72D297353CC}">
              <c16:uniqueId val="{00000002-D9FF-42AF-9105-9A070E0C5965}"/>
            </c:ext>
          </c:extLst>
        </c:ser>
        <c:ser>
          <c:idx val="3"/>
          <c:order val="3"/>
          <c:tx>
            <c:strRef>
              <c:f>'Electricity Sector Data'!$A$9</c:f>
              <c:strCache>
                <c:ptCount val="1"/>
                <c:pt idx="0">
                  <c:v>New Renewable Gen</c:v>
                </c:pt>
              </c:strCache>
            </c:strRef>
          </c:tx>
          <c:spPr>
            <a:solidFill>
              <a:srgbClr val="92D050"/>
            </a:solidFill>
            <a:scene3d>
              <a:camera prst="orthographicFront"/>
              <a:lightRig rig="threePt" dir="t"/>
            </a:scene3d>
            <a:sp3d>
              <a:bevelT/>
              <a:bevelB/>
            </a:sp3d>
          </c:spPr>
          <c:invertIfNegative val="0"/>
          <c:dLbls>
            <c:spPr>
              <a:noFill/>
              <a:ln>
                <a:noFill/>
              </a:ln>
              <a:effectLst/>
            </c:spPr>
            <c:txPr>
              <a:bodyPr wrap="square" lIns="38100" tIns="19050" rIns="38100" bIns="19050" anchor="ctr">
                <a:spAutoFit/>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'Electricity Sector Data'!$B$5:$F$5</c:f>
              <c:numCache>
                <c:formatCode>General</c:formatCode>
                <c:ptCount val="5"/>
                <c:pt idx="0">
                  <c:v>2020</c:v>
                </c:pt>
                <c:pt idx="4">
                  <c:v>2030</c:v>
                </c:pt>
              </c:numCache>
            </c:numRef>
          </c:cat>
          <c:val>
            <c:numRef>
              <c:f>'Electricity Sector Data'!$B$9:$F$9</c:f>
              <c:numCache>
                <c:formatCode>General</c:formatCode>
                <c:ptCount val="5"/>
                <c:pt idx="2" formatCode="0.0">
                  <c:v>-37.100595969286189</c:v>
                </c:pt>
              </c:numCache>
            </c:numRef>
          </c:val>
          <c:extLst>
            <c:ext xmlns:c16="http://schemas.microsoft.com/office/drawing/2014/chart" uri="{C3380CC4-5D6E-409C-BE32-E72D297353CC}">
              <c16:uniqueId val="{00000004-D9FF-42AF-9105-9A070E0C5965}"/>
            </c:ext>
          </c:extLst>
        </c:ser>
        <c:ser>
          <c:idx val="4"/>
          <c:order val="4"/>
          <c:tx>
            <c:strRef>
              <c:f>'Electricity Sector Data'!$A$10</c:f>
              <c:strCache>
                <c:ptCount val="1"/>
                <c:pt idx="0">
                  <c:v>New EV Charging</c:v>
                </c:pt>
              </c:strCache>
            </c:strRef>
          </c:tx>
          <c:spPr>
            <a:solidFill>
              <a:srgbClr val="00B0F0"/>
            </a:solidFill>
            <a:scene3d>
              <a:camera prst="orthographicFront"/>
              <a:lightRig rig="threePt" dir="t"/>
            </a:scene3d>
            <a:sp3d>
              <a:bevelT/>
              <a:bevelB/>
            </a:sp3d>
          </c:spPr>
          <c:invertIfNegative val="0"/>
          <c:dLbls>
            <c:spPr>
              <a:noFill/>
              <a:ln>
                <a:noFill/>
              </a:ln>
              <a:effectLst/>
            </c:spPr>
            <c:txPr>
              <a:bodyPr wrap="square" lIns="38100" tIns="19050" rIns="38100" bIns="19050" anchor="ctr">
                <a:spAutoFit/>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'Electricity Sector Data'!$B$5:$F$5</c:f>
              <c:numCache>
                <c:formatCode>General</c:formatCode>
                <c:ptCount val="5"/>
                <c:pt idx="0">
                  <c:v>2020</c:v>
                </c:pt>
                <c:pt idx="4">
                  <c:v>2030</c:v>
                </c:pt>
              </c:numCache>
            </c:numRef>
          </c:cat>
          <c:val>
            <c:numRef>
              <c:f>'Electricity Sector Data'!$B$10:$F$10</c:f>
              <c:numCache>
                <c:formatCode>General</c:formatCode>
                <c:ptCount val="5"/>
                <c:pt idx="3" formatCode="0.0">
                  <c:v>3.2604962915824776</c:v>
                </c:pt>
              </c:numCache>
            </c:numRef>
          </c:val>
          <c:extLst>
            <c:ext xmlns:c16="http://schemas.microsoft.com/office/drawing/2014/chart" uri="{C3380CC4-5D6E-409C-BE32-E72D297353CC}">
              <c16:uniqueId val="{00000005-D9FF-42AF-9105-9A070E0C5965}"/>
            </c:ext>
          </c:extLst>
        </c:ser>
        <c:ser>
          <c:idx val="5"/>
          <c:order val="5"/>
          <c:tx>
            <c:strRef>
              <c:f>'Electricity Sector Data'!$A$11</c:f>
              <c:strCache>
                <c:ptCount val="1"/>
                <c:pt idx="0">
                  <c:v>New Building Electrification</c:v>
                </c:pt>
              </c:strCache>
            </c:strRef>
          </c:tx>
          <c:spPr>
            <a:solidFill>
              <a:srgbClr val="FF0000">
                <a:alpha val="82000"/>
              </a:srgbClr>
            </a:solidFill>
            <a:scene3d>
              <a:camera prst="orthographicFront"/>
              <a:lightRig rig="threePt" dir="t"/>
            </a:scene3d>
            <a:sp3d>
              <a:bevelT w="38100" h="38100"/>
              <a:bevelB w="38100" h="38100"/>
            </a:sp3d>
          </c:spPr>
          <c:invertIfNegative val="0"/>
          <c:dLbls>
            <c:spPr>
              <a:noFill/>
              <a:ln>
                <a:noFill/>
              </a:ln>
              <a:effectLst/>
            </c:spPr>
            <c:txPr>
              <a:bodyPr wrap="square" lIns="38100" tIns="19050" rIns="38100" bIns="19050" anchor="ctr">
                <a:spAutoFit/>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'Electricity Sector Data'!$B$5:$F$5</c:f>
              <c:numCache>
                <c:formatCode>General</c:formatCode>
                <c:ptCount val="5"/>
                <c:pt idx="0">
                  <c:v>2020</c:v>
                </c:pt>
                <c:pt idx="4">
                  <c:v>2030</c:v>
                </c:pt>
              </c:numCache>
            </c:numRef>
          </c:cat>
          <c:val>
            <c:numRef>
              <c:f>'Electricity Sector Data'!$B$11:$F$11</c:f>
              <c:numCache>
                <c:formatCode>General</c:formatCode>
                <c:ptCount val="5"/>
                <c:pt idx="3" formatCode="0.0">
                  <c:v>1.6055504869061203</c:v>
                </c:pt>
              </c:numCache>
            </c:numRef>
          </c:val>
          <c:extLst>
            <c:ext xmlns:c16="http://schemas.microsoft.com/office/drawing/2014/chart" uri="{C3380CC4-5D6E-409C-BE32-E72D297353CC}">
              <c16:uniqueId val="{00000006-D9FF-42AF-9105-9A070E0C5965}"/>
            </c:ext>
          </c:extLst>
        </c:ser>
        <c:dLbls>
          <c:showLegendKey val="0"/>
          <c:showVal val="1"/>
          <c:showCatName val="0"/>
          <c:showSerName val="0"/>
          <c:showPercent val="0"/>
          <c:showBubbleSize val="0"/>
        </c:dLbls>
        <c:gapWidth val="33"/>
        <c:overlap val="100"/>
        <c:axId val="237356544"/>
        <c:axId val="237358080"/>
      </c:barChart>
      <c:catAx>
        <c:axId val="237356544"/>
        <c:scaling>
          <c:orientation val="minMax"/>
        </c:scaling>
        <c:delete val="0"/>
        <c:axPos val="b"/>
        <c:numFmt formatCode="General" sourceLinked="1"/>
        <c:majorTickMark val="none"/>
        <c:minorTickMark val="none"/>
        <c:tickLblPos val="nextTo"/>
        <c:txPr>
          <a:bodyPr/>
          <a:lstStyle/>
          <a:p>
            <a:pPr>
              <a:defRPr sz="1600"/>
            </a:pPr>
            <a:endParaRPr lang="en-US"/>
          </a:p>
        </c:txPr>
        <c:crossAx val="237358080"/>
        <c:crosses val="autoZero"/>
        <c:auto val="1"/>
        <c:lblAlgn val="ctr"/>
        <c:lblOffset val="100"/>
        <c:noMultiLvlLbl val="0"/>
      </c:catAx>
      <c:valAx>
        <c:axId val="237358080"/>
        <c:scaling>
          <c:orientation val="minMax"/>
        </c:scaling>
        <c:delete val="1"/>
        <c:axPos val="l"/>
        <c:numFmt formatCode="0.0" sourceLinked="1"/>
        <c:majorTickMark val="out"/>
        <c:minorTickMark val="none"/>
        <c:tickLblPos val="nextTo"/>
        <c:crossAx val="237356544"/>
        <c:crosses val="autoZero"/>
        <c:crossBetween val="between"/>
      </c:valAx>
    </c:plotArea>
    <c:legend>
      <c:legendPos val="l"/>
      <c:layout>
        <c:manualLayout>
          <c:xMode val="edge"/>
          <c:yMode val="edge"/>
          <c:x val="0.46514228029188665"/>
          <c:y val="0.12787576552930885"/>
          <c:w val="0.39891978887254481"/>
          <c:h val="0.27582056788356002"/>
        </c:manualLayout>
      </c:layout>
      <c:overlay val="1"/>
      <c:txPr>
        <a:bodyPr/>
        <a:lstStyle/>
        <a:p>
          <a:pPr>
            <a:defRPr sz="1800" b="1"/>
          </a:pPr>
          <a:endParaRPr lang="en-US"/>
        </a:p>
      </c:txPr>
    </c:legend>
    <c:plotVisOnly val="1"/>
    <c:dispBlanksAs val="gap"/>
    <c:showDLblsOverMax val="0"/>
  </c:chart>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Industry</a:t>
            </a:r>
            <a:r>
              <a:rPr lang="en-US" baseline="0"/>
              <a:t> Energy Efficiency, Ag Manure Sub-Sector Emissions</a:t>
            </a:r>
            <a:endParaRPr lang="en-US"/>
          </a:p>
        </c:rich>
      </c:tx>
      <c:layout>
        <c:manualLayout>
          <c:xMode val="edge"/>
          <c:yMode val="edge"/>
          <c:x val="0.13232020778949455"/>
          <c:y val="1.4172089337407795E-2"/>
        </c:manualLayout>
      </c:layout>
      <c:overlay val="1"/>
    </c:title>
    <c:autoTitleDeleted val="0"/>
    <c:plotArea>
      <c:layout>
        <c:manualLayout>
          <c:layoutTarget val="inner"/>
          <c:xMode val="edge"/>
          <c:yMode val="edge"/>
          <c:x val="3.2165849607269252E-2"/>
          <c:y val="0.29473593762877831"/>
          <c:w val="0.9678341503927308"/>
          <c:h val="0.63430812545343918"/>
        </c:manualLayout>
      </c:layout>
      <c:barChart>
        <c:barDir val="col"/>
        <c:grouping val="stacked"/>
        <c:varyColors val="0"/>
        <c:ser>
          <c:idx val="0"/>
          <c:order val="0"/>
          <c:tx>
            <c:strRef>
              <c:f>'Ind EE Ag Manure Data'!$A$6</c:f>
              <c:strCache>
                <c:ptCount val="1"/>
                <c:pt idx="0">
                  <c:v>Industrial Energy Efficiency Capable</c:v>
                </c:pt>
              </c:strCache>
            </c:strRef>
          </c:tx>
          <c:spPr>
            <a:solidFill>
              <a:srgbClr val="FF0000"/>
            </a:solidFill>
            <a:scene3d>
              <a:camera prst="orthographicFront"/>
              <a:lightRig rig="threePt" dir="t"/>
            </a:scene3d>
            <a:sp3d>
              <a:bevelT/>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'Ind EE Ag Manure Data'!$B$5:$C$5</c:f>
              <c:numCache>
                <c:formatCode>General</c:formatCode>
                <c:ptCount val="2"/>
                <c:pt idx="0">
                  <c:v>2020</c:v>
                </c:pt>
                <c:pt idx="1">
                  <c:v>2030</c:v>
                </c:pt>
              </c:numCache>
            </c:numRef>
          </c:cat>
          <c:val>
            <c:numRef>
              <c:f>'Ind EE Ag Manure Data'!$B$6:$C$6</c:f>
              <c:numCache>
                <c:formatCode>0</c:formatCode>
                <c:ptCount val="2"/>
                <c:pt idx="0">
                  <c:v>45.38</c:v>
                </c:pt>
                <c:pt idx="1">
                  <c:v>31.765999999999998</c:v>
                </c:pt>
              </c:numCache>
            </c:numRef>
          </c:val>
          <c:extLst>
            <c:ext xmlns:c16="http://schemas.microsoft.com/office/drawing/2014/chart" uri="{C3380CC4-5D6E-409C-BE32-E72D297353CC}">
              <c16:uniqueId val="{00000000-80B3-44A1-9A7B-521C8A7E9512}"/>
            </c:ext>
          </c:extLst>
        </c:ser>
        <c:ser>
          <c:idx val="1"/>
          <c:order val="1"/>
          <c:tx>
            <c:strRef>
              <c:f>'Ind EE Ag Manure Data'!$A$7</c:f>
              <c:strCache>
                <c:ptCount val="1"/>
                <c:pt idx="0">
                  <c:v>Ag Manure Management</c:v>
                </c:pt>
              </c:strCache>
            </c:strRef>
          </c:tx>
          <c:spPr>
            <a:solidFill>
              <a:srgbClr val="0070C0"/>
            </a:solidFill>
            <a:scene3d>
              <a:camera prst="orthographicFront"/>
              <a:lightRig rig="threePt" dir="t"/>
            </a:scene3d>
            <a:sp3d>
              <a:bevelT/>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'Ind EE Ag Manure Data'!$B$5:$C$5</c:f>
              <c:numCache>
                <c:formatCode>General</c:formatCode>
                <c:ptCount val="2"/>
                <c:pt idx="0">
                  <c:v>2020</c:v>
                </c:pt>
                <c:pt idx="1">
                  <c:v>2030</c:v>
                </c:pt>
              </c:numCache>
            </c:numRef>
          </c:cat>
          <c:val>
            <c:numRef>
              <c:f>'Ind EE Ag Manure Data'!$B$7:$C$7</c:f>
              <c:numCache>
                <c:formatCode>0</c:formatCode>
                <c:ptCount val="2"/>
                <c:pt idx="0">
                  <c:v>11.62</c:v>
                </c:pt>
                <c:pt idx="1">
                  <c:v>8.1339999999999986</c:v>
                </c:pt>
              </c:numCache>
            </c:numRef>
          </c:val>
          <c:extLst>
            <c:ext xmlns:c16="http://schemas.microsoft.com/office/drawing/2014/chart" uri="{C3380CC4-5D6E-409C-BE32-E72D297353CC}">
              <c16:uniqueId val="{00000001-80B3-44A1-9A7B-521C8A7E9512}"/>
            </c:ext>
          </c:extLst>
        </c:ser>
        <c:dLbls>
          <c:showLegendKey val="0"/>
          <c:showVal val="1"/>
          <c:showCatName val="0"/>
          <c:showSerName val="0"/>
          <c:showPercent val="0"/>
          <c:showBubbleSize val="0"/>
        </c:dLbls>
        <c:gapWidth val="230"/>
        <c:overlap val="100"/>
        <c:axId val="237470080"/>
        <c:axId val="237471616"/>
      </c:barChart>
      <c:catAx>
        <c:axId val="237470080"/>
        <c:scaling>
          <c:orientation val="minMax"/>
        </c:scaling>
        <c:delete val="0"/>
        <c:axPos val="b"/>
        <c:numFmt formatCode="General" sourceLinked="1"/>
        <c:majorTickMark val="none"/>
        <c:minorTickMark val="none"/>
        <c:tickLblPos val="nextTo"/>
        <c:txPr>
          <a:bodyPr/>
          <a:lstStyle/>
          <a:p>
            <a:pPr>
              <a:defRPr sz="1600"/>
            </a:pPr>
            <a:endParaRPr lang="en-US"/>
          </a:p>
        </c:txPr>
        <c:crossAx val="237471616"/>
        <c:crosses val="autoZero"/>
        <c:auto val="1"/>
        <c:lblAlgn val="ctr"/>
        <c:lblOffset val="100"/>
        <c:noMultiLvlLbl val="0"/>
      </c:catAx>
      <c:valAx>
        <c:axId val="237471616"/>
        <c:scaling>
          <c:orientation val="minMax"/>
        </c:scaling>
        <c:delete val="1"/>
        <c:axPos val="l"/>
        <c:numFmt formatCode="0" sourceLinked="1"/>
        <c:majorTickMark val="out"/>
        <c:minorTickMark val="none"/>
        <c:tickLblPos val="nextTo"/>
        <c:crossAx val="237470080"/>
        <c:crosses val="autoZero"/>
        <c:crossBetween val="between"/>
      </c:valAx>
    </c:plotArea>
    <c:legend>
      <c:legendPos val="l"/>
      <c:layout>
        <c:manualLayout>
          <c:xMode val="edge"/>
          <c:yMode val="edge"/>
          <c:x val="0.37136941231500337"/>
          <c:y val="0.43292624312259115"/>
          <c:w val="0.27354343463009567"/>
          <c:h val="0.39472999140906756"/>
        </c:manualLayout>
      </c:layout>
      <c:overlay val="1"/>
      <c:txPr>
        <a:bodyPr/>
        <a:lstStyle/>
        <a:p>
          <a:pPr>
            <a:defRPr sz="1800" b="1"/>
          </a:pPr>
          <a:endParaRPr lang="en-US"/>
        </a:p>
      </c:txPr>
    </c:legend>
    <c:plotVisOnly val="1"/>
    <c:dispBlanksAs val="gap"/>
    <c:showDLblsOverMax val="0"/>
  </c:chart>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Climate Safe Pathways - Sub-sector</a:t>
            </a:r>
            <a:r>
              <a:rPr lang="en-US" baseline="0"/>
              <a:t> Emissions, MMT CO2eq</a:t>
            </a:r>
            <a:endParaRPr lang="en-US"/>
          </a:p>
        </c:rich>
      </c:tx>
      <c:overlay val="0"/>
    </c:title>
    <c:autoTitleDeleted val="0"/>
    <c:plotArea>
      <c:layout>
        <c:manualLayout>
          <c:layoutTarget val="inner"/>
          <c:xMode val="edge"/>
          <c:yMode val="edge"/>
          <c:x val="0.1741740559323719"/>
          <c:y val="0.13493541064199419"/>
          <c:w val="0.80970190486076721"/>
          <c:h val="0.80218010715727117"/>
        </c:manualLayout>
      </c:layout>
      <c:barChart>
        <c:barDir val="col"/>
        <c:grouping val="stacked"/>
        <c:varyColors val="0"/>
        <c:ser>
          <c:idx val="0"/>
          <c:order val="0"/>
          <c:tx>
            <c:strRef>
              <c:f>'Pathway Emissions Summary Table'!$A$6</c:f>
              <c:strCache>
                <c:ptCount val="1"/>
                <c:pt idx="0">
                  <c:v>Electricity</c:v>
                </c:pt>
              </c:strCache>
            </c:strRef>
          </c:tx>
          <c:spPr>
            <a:gradFill>
              <a:gsLst>
                <a:gs pos="0">
                  <a:srgbClr val="FFC000"/>
                </a:gs>
                <a:gs pos="86000">
                  <a:schemeClr val="accent1">
                    <a:tint val="44500"/>
                    <a:satMod val="160000"/>
                  </a:schemeClr>
                </a:gs>
                <a:gs pos="100000">
                  <a:schemeClr val="accent1">
                    <a:tint val="23500"/>
                    <a:satMod val="160000"/>
                  </a:schemeClr>
                </a:gs>
              </a:gsLst>
              <a:lin ang="0" scaled="1"/>
            </a:gradFill>
            <a:scene3d>
              <a:camera prst="orthographicFront"/>
              <a:lightRig rig="threePt" dir="t"/>
            </a:scene3d>
            <a:sp3d>
              <a:bevelT/>
              <a:bevelB/>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'Pathway Emissions Summary Table'!$B$5:$C$5</c:f>
              <c:numCache>
                <c:formatCode>General</c:formatCode>
                <c:ptCount val="2"/>
                <c:pt idx="0">
                  <c:v>2020</c:v>
                </c:pt>
                <c:pt idx="1">
                  <c:v>2030</c:v>
                </c:pt>
              </c:numCache>
            </c:numRef>
          </c:cat>
          <c:val>
            <c:numRef>
              <c:f>'Pathway Emissions Summary Table'!$B$6:$C$6</c:f>
              <c:numCache>
                <c:formatCode>0</c:formatCode>
                <c:ptCount val="2"/>
                <c:pt idx="0">
                  <c:v>62.57</c:v>
                </c:pt>
                <c:pt idx="1">
                  <c:v>12.493659849549974</c:v>
                </c:pt>
              </c:numCache>
            </c:numRef>
          </c:val>
          <c:extLst>
            <c:ext xmlns:c16="http://schemas.microsoft.com/office/drawing/2014/chart" uri="{C3380CC4-5D6E-409C-BE32-E72D297353CC}">
              <c16:uniqueId val="{00000000-ED05-4B7B-A4A9-6C9430451812}"/>
            </c:ext>
          </c:extLst>
        </c:ser>
        <c:ser>
          <c:idx val="1"/>
          <c:order val="1"/>
          <c:tx>
            <c:strRef>
              <c:f>'Pathway Emissions Summary Table'!$A$7</c:f>
              <c:strCache>
                <c:ptCount val="1"/>
                <c:pt idx="0">
                  <c:v>Transport. - On Road</c:v>
                </c:pt>
              </c:strCache>
            </c:strRef>
          </c:tx>
          <c:spPr>
            <a:gradFill flip="none" rotWithShape="1">
              <a:gsLst>
                <a:gs pos="0">
                  <a:srgbClr val="00B050"/>
                </a:gs>
                <a:gs pos="86000">
                  <a:schemeClr val="accent1">
                    <a:tint val="44500"/>
                    <a:satMod val="160000"/>
                  </a:schemeClr>
                </a:gs>
                <a:gs pos="100000">
                  <a:schemeClr val="accent1">
                    <a:tint val="23500"/>
                    <a:satMod val="160000"/>
                  </a:schemeClr>
                </a:gs>
              </a:gsLst>
              <a:lin ang="0" scaled="1"/>
              <a:tileRect/>
            </a:gradFill>
            <a:scene3d>
              <a:camera prst="orthographicFront"/>
              <a:lightRig rig="threePt" dir="t"/>
            </a:scene3d>
            <a:sp3d>
              <a:bevelT/>
              <a:bevelB/>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'Pathway Emissions Summary Table'!$B$5:$C$5</c:f>
              <c:numCache>
                <c:formatCode>General</c:formatCode>
                <c:ptCount val="2"/>
                <c:pt idx="0">
                  <c:v>2020</c:v>
                </c:pt>
                <c:pt idx="1">
                  <c:v>2030</c:v>
                </c:pt>
              </c:numCache>
            </c:numRef>
          </c:cat>
          <c:val>
            <c:numRef>
              <c:f>'Pathway Emissions Summary Table'!$B$7:$C$7</c:f>
              <c:numCache>
                <c:formatCode>0</c:formatCode>
                <c:ptCount val="2"/>
                <c:pt idx="0">
                  <c:v>155.75</c:v>
                </c:pt>
                <c:pt idx="1">
                  <c:v>82.238985499999998</c:v>
                </c:pt>
              </c:numCache>
            </c:numRef>
          </c:val>
          <c:extLst>
            <c:ext xmlns:c16="http://schemas.microsoft.com/office/drawing/2014/chart" uri="{C3380CC4-5D6E-409C-BE32-E72D297353CC}">
              <c16:uniqueId val="{00000001-ED05-4B7B-A4A9-6C9430451812}"/>
            </c:ext>
          </c:extLst>
        </c:ser>
        <c:ser>
          <c:idx val="2"/>
          <c:order val="2"/>
          <c:tx>
            <c:strRef>
              <c:f>'Pathway Emissions Summary Table'!$A$8</c:f>
              <c:strCache>
                <c:ptCount val="1"/>
                <c:pt idx="0">
                  <c:v>Transport. - Other</c:v>
                </c:pt>
              </c:strCache>
            </c:strRef>
          </c:tx>
          <c:spPr>
            <a:solidFill>
              <a:srgbClr val="00B050"/>
            </a:solidFill>
            <a:scene3d>
              <a:camera prst="orthographicFront"/>
              <a:lightRig rig="threePt" dir="t"/>
            </a:scene3d>
            <a:sp3d>
              <a:bevelT/>
              <a:bevelB/>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'Pathway Emissions Summary Table'!$B$5:$C$5</c:f>
              <c:numCache>
                <c:formatCode>General</c:formatCode>
                <c:ptCount val="2"/>
                <c:pt idx="0">
                  <c:v>2020</c:v>
                </c:pt>
                <c:pt idx="1">
                  <c:v>2030</c:v>
                </c:pt>
              </c:numCache>
            </c:numRef>
          </c:cat>
          <c:val>
            <c:numRef>
              <c:f>'Pathway Emissions Summary Table'!$B$8:$C$8</c:f>
              <c:numCache>
                <c:formatCode>0</c:formatCode>
                <c:ptCount val="2"/>
                <c:pt idx="0">
                  <c:v>18.55</c:v>
                </c:pt>
                <c:pt idx="1">
                  <c:v>18.55</c:v>
                </c:pt>
              </c:numCache>
            </c:numRef>
          </c:val>
          <c:extLst>
            <c:ext xmlns:c16="http://schemas.microsoft.com/office/drawing/2014/chart" uri="{C3380CC4-5D6E-409C-BE32-E72D297353CC}">
              <c16:uniqueId val="{00000002-ED05-4B7B-A4A9-6C9430451812}"/>
            </c:ext>
          </c:extLst>
        </c:ser>
        <c:ser>
          <c:idx val="3"/>
          <c:order val="3"/>
          <c:tx>
            <c:strRef>
              <c:f>'Pathway Emissions Summary Table'!$A$9</c:f>
              <c:strCache>
                <c:ptCount val="1"/>
                <c:pt idx="0">
                  <c:v>Indust. - Eff. Capable</c:v>
                </c:pt>
              </c:strCache>
            </c:strRef>
          </c:tx>
          <c:spPr>
            <a:gradFill flip="none" rotWithShape="1">
              <a:gsLst>
                <a:gs pos="0">
                  <a:srgbClr val="FF0000"/>
                </a:gs>
                <a:gs pos="86000">
                  <a:schemeClr val="accent1">
                    <a:tint val="44500"/>
                    <a:satMod val="160000"/>
                  </a:schemeClr>
                </a:gs>
                <a:gs pos="100000">
                  <a:schemeClr val="accent1">
                    <a:tint val="23500"/>
                    <a:satMod val="160000"/>
                  </a:schemeClr>
                </a:gs>
              </a:gsLst>
              <a:lin ang="10800000" scaled="1"/>
              <a:tileRect/>
            </a:gradFill>
            <a:scene3d>
              <a:camera prst="orthographicFront"/>
              <a:lightRig rig="threePt" dir="t"/>
            </a:scene3d>
            <a:sp3d>
              <a:bevelT/>
              <a:bevelB/>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'Pathway Emissions Summary Table'!$B$5:$C$5</c:f>
              <c:numCache>
                <c:formatCode>General</c:formatCode>
                <c:ptCount val="2"/>
                <c:pt idx="0">
                  <c:v>2020</c:v>
                </c:pt>
                <c:pt idx="1">
                  <c:v>2030</c:v>
                </c:pt>
              </c:numCache>
            </c:numRef>
          </c:cat>
          <c:val>
            <c:numRef>
              <c:f>'Pathway Emissions Summary Table'!$B$9:$C$9</c:f>
              <c:numCache>
                <c:formatCode>0</c:formatCode>
                <c:ptCount val="2"/>
                <c:pt idx="0">
                  <c:v>45.38</c:v>
                </c:pt>
                <c:pt idx="1">
                  <c:v>31.765999999999998</c:v>
                </c:pt>
              </c:numCache>
            </c:numRef>
          </c:val>
          <c:extLst>
            <c:ext xmlns:c16="http://schemas.microsoft.com/office/drawing/2014/chart" uri="{C3380CC4-5D6E-409C-BE32-E72D297353CC}">
              <c16:uniqueId val="{00000003-ED05-4B7B-A4A9-6C9430451812}"/>
            </c:ext>
          </c:extLst>
        </c:ser>
        <c:ser>
          <c:idx val="4"/>
          <c:order val="4"/>
          <c:tx>
            <c:strRef>
              <c:f>'Pathway Emissions Summary Table'!$A$10</c:f>
              <c:strCache>
                <c:ptCount val="1"/>
                <c:pt idx="0">
                  <c:v>Industrial - Refining</c:v>
                </c:pt>
              </c:strCache>
            </c:strRef>
          </c:tx>
          <c:spPr>
            <a:gradFill flip="none" rotWithShape="1">
              <a:gsLst>
                <a:gs pos="0">
                  <a:srgbClr val="FF0000"/>
                </a:gs>
                <a:gs pos="86000">
                  <a:schemeClr val="accent1">
                    <a:tint val="44500"/>
                    <a:satMod val="160000"/>
                  </a:schemeClr>
                </a:gs>
                <a:gs pos="100000">
                  <a:schemeClr val="accent1">
                    <a:tint val="23500"/>
                    <a:satMod val="160000"/>
                  </a:schemeClr>
                </a:gs>
              </a:gsLst>
              <a:lin ang="0" scaled="1"/>
              <a:tileRect/>
            </a:gradFill>
            <a:scene3d>
              <a:camera prst="orthographicFront"/>
              <a:lightRig rig="threePt" dir="t"/>
            </a:scene3d>
            <a:sp3d>
              <a:bevelT/>
              <a:bevelB/>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'Pathway Emissions Summary Table'!$B$5:$C$5</c:f>
              <c:numCache>
                <c:formatCode>General</c:formatCode>
                <c:ptCount val="2"/>
                <c:pt idx="0">
                  <c:v>2020</c:v>
                </c:pt>
                <c:pt idx="1">
                  <c:v>2030</c:v>
                </c:pt>
              </c:numCache>
            </c:numRef>
          </c:cat>
          <c:val>
            <c:numRef>
              <c:f>'Pathway Emissions Summary Table'!$B$10:$C$10</c:f>
              <c:numCache>
                <c:formatCode>0</c:formatCode>
                <c:ptCount val="2"/>
                <c:pt idx="0">
                  <c:v>29.82</c:v>
                </c:pt>
                <c:pt idx="1">
                  <c:v>19.73032257261411</c:v>
                </c:pt>
              </c:numCache>
            </c:numRef>
          </c:val>
          <c:extLst>
            <c:ext xmlns:c16="http://schemas.microsoft.com/office/drawing/2014/chart" uri="{C3380CC4-5D6E-409C-BE32-E72D297353CC}">
              <c16:uniqueId val="{00000004-ED05-4B7B-A4A9-6C9430451812}"/>
            </c:ext>
          </c:extLst>
        </c:ser>
        <c:ser>
          <c:idx val="5"/>
          <c:order val="5"/>
          <c:tx>
            <c:strRef>
              <c:f>'Pathway Emissions Summary Table'!$A$11</c:f>
              <c:strCache>
                <c:ptCount val="1"/>
                <c:pt idx="0">
                  <c:v>Industrial - Other</c:v>
                </c:pt>
              </c:strCache>
            </c:strRef>
          </c:tx>
          <c:spPr>
            <a:solidFill>
              <a:srgbClr val="FF0000"/>
            </a:solidFill>
            <a:scene3d>
              <a:camera prst="orthographicFront"/>
              <a:lightRig rig="threePt" dir="t"/>
            </a:scene3d>
            <a:sp3d>
              <a:bevelT/>
              <a:bevelB/>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'Pathway Emissions Summary Table'!$B$5:$C$5</c:f>
              <c:numCache>
                <c:formatCode>General</c:formatCode>
                <c:ptCount val="2"/>
                <c:pt idx="0">
                  <c:v>2020</c:v>
                </c:pt>
                <c:pt idx="1">
                  <c:v>2030</c:v>
                </c:pt>
              </c:numCache>
            </c:numRef>
          </c:cat>
          <c:val>
            <c:numRef>
              <c:f>'Pathway Emissions Summary Table'!$B$11:$C$11</c:f>
              <c:numCache>
                <c:formatCode>0</c:formatCode>
                <c:ptCount val="2"/>
                <c:pt idx="0">
                  <c:v>25.94</c:v>
                </c:pt>
                <c:pt idx="1">
                  <c:v>25.94</c:v>
                </c:pt>
              </c:numCache>
            </c:numRef>
          </c:val>
          <c:extLst>
            <c:ext xmlns:c16="http://schemas.microsoft.com/office/drawing/2014/chart" uri="{C3380CC4-5D6E-409C-BE32-E72D297353CC}">
              <c16:uniqueId val="{00000005-ED05-4B7B-A4A9-6C9430451812}"/>
            </c:ext>
          </c:extLst>
        </c:ser>
        <c:ser>
          <c:idx val="6"/>
          <c:order val="6"/>
          <c:tx>
            <c:strRef>
              <c:f>'Pathway Emissions Summary Table'!$A$12</c:f>
              <c:strCache>
                <c:ptCount val="1"/>
                <c:pt idx="0">
                  <c:v>Com'l + Res - Nat. Gas</c:v>
                </c:pt>
              </c:strCache>
            </c:strRef>
          </c:tx>
          <c:spPr>
            <a:gradFill>
              <a:gsLst>
                <a:gs pos="0">
                  <a:srgbClr val="7030A0"/>
                </a:gs>
                <a:gs pos="86000">
                  <a:schemeClr val="accent1">
                    <a:tint val="44500"/>
                    <a:satMod val="160000"/>
                  </a:schemeClr>
                </a:gs>
                <a:gs pos="100000">
                  <a:schemeClr val="accent1">
                    <a:tint val="23500"/>
                    <a:satMod val="160000"/>
                  </a:schemeClr>
                </a:gs>
              </a:gsLst>
              <a:lin ang="10800000" scaled="1"/>
            </a:gradFill>
            <a:scene3d>
              <a:camera prst="orthographicFront"/>
              <a:lightRig rig="threePt" dir="t"/>
            </a:scene3d>
            <a:sp3d>
              <a:bevelT w="69850"/>
              <a:bevelB/>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'Pathway Emissions Summary Table'!$B$5:$C$5</c:f>
              <c:numCache>
                <c:formatCode>General</c:formatCode>
                <c:ptCount val="2"/>
                <c:pt idx="0">
                  <c:v>2020</c:v>
                </c:pt>
                <c:pt idx="1">
                  <c:v>2030</c:v>
                </c:pt>
              </c:numCache>
            </c:numRef>
          </c:cat>
          <c:val>
            <c:numRef>
              <c:f>'Pathway Emissions Summary Table'!$B$12:$C$12</c:f>
              <c:numCache>
                <c:formatCode>0</c:formatCode>
                <c:ptCount val="2"/>
                <c:pt idx="0">
                  <c:v>35.341999999999999</c:v>
                </c:pt>
                <c:pt idx="1">
                  <c:v>19.614810000000002</c:v>
                </c:pt>
              </c:numCache>
            </c:numRef>
          </c:val>
          <c:extLst>
            <c:ext xmlns:c16="http://schemas.microsoft.com/office/drawing/2014/chart" uri="{C3380CC4-5D6E-409C-BE32-E72D297353CC}">
              <c16:uniqueId val="{00000006-ED05-4B7B-A4A9-6C9430451812}"/>
            </c:ext>
          </c:extLst>
        </c:ser>
        <c:ser>
          <c:idx val="7"/>
          <c:order val="7"/>
          <c:tx>
            <c:strRef>
              <c:f>'Pathway Emissions Summary Table'!$A$13</c:f>
              <c:strCache>
                <c:ptCount val="1"/>
                <c:pt idx="0">
                  <c:v>Com'l + Res - Other</c:v>
                </c:pt>
              </c:strCache>
            </c:strRef>
          </c:tx>
          <c:spPr>
            <a:solidFill>
              <a:srgbClr val="7030A0"/>
            </a:solidFill>
            <a:scene3d>
              <a:camera prst="orthographicFront"/>
              <a:lightRig rig="threePt" dir="t"/>
            </a:scene3d>
            <a:sp3d>
              <a:bevelT/>
              <a:bevelB/>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'Pathway Emissions Summary Table'!$B$5:$C$5</c:f>
              <c:numCache>
                <c:formatCode>General</c:formatCode>
                <c:ptCount val="2"/>
                <c:pt idx="0">
                  <c:v>2020</c:v>
                </c:pt>
                <c:pt idx="1">
                  <c:v>2030</c:v>
                </c:pt>
              </c:numCache>
            </c:numRef>
          </c:cat>
          <c:val>
            <c:numRef>
              <c:f>'Pathway Emissions Summary Table'!$B$13:$C$13</c:f>
              <c:numCache>
                <c:formatCode>0</c:formatCode>
                <c:ptCount val="2"/>
                <c:pt idx="0">
                  <c:v>18.317999999999998</c:v>
                </c:pt>
                <c:pt idx="1">
                  <c:v>18.317999999999998</c:v>
                </c:pt>
              </c:numCache>
            </c:numRef>
          </c:val>
          <c:extLst>
            <c:ext xmlns:c16="http://schemas.microsoft.com/office/drawing/2014/chart" uri="{C3380CC4-5D6E-409C-BE32-E72D297353CC}">
              <c16:uniqueId val="{00000007-ED05-4B7B-A4A9-6C9430451812}"/>
            </c:ext>
          </c:extLst>
        </c:ser>
        <c:ser>
          <c:idx val="8"/>
          <c:order val="8"/>
          <c:tx>
            <c:strRef>
              <c:f>'Pathway Emissions Summary Table'!$A$14</c:f>
              <c:strCache>
                <c:ptCount val="1"/>
                <c:pt idx="0">
                  <c:v>Ag - Manure Mgmt</c:v>
                </c:pt>
              </c:strCache>
            </c:strRef>
          </c:tx>
          <c:spPr>
            <a:gradFill flip="none" rotWithShape="1">
              <a:gsLst>
                <a:gs pos="25000">
                  <a:srgbClr val="0070C0"/>
                </a:gs>
                <a:gs pos="60000">
                  <a:schemeClr val="accent1">
                    <a:tint val="44500"/>
                    <a:satMod val="160000"/>
                  </a:schemeClr>
                </a:gs>
                <a:gs pos="84000">
                  <a:schemeClr val="accent1">
                    <a:tint val="23500"/>
                    <a:satMod val="160000"/>
                  </a:schemeClr>
                </a:gs>
              </a:gsLst>
              <a:lin ang="0" scaled="1"/>
              <a:tileRect/>
            </a:gradFill>
            <a:scene3d>
              <a:camera prst="orthographicFront"/>
              <a:lightRig rig="threePt" dir="t"/>
            </a:scene3d>
            <a:sp3d>
              <a:bevelT/>
              <a:bevelB/>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'Pathway Emissions Summary Table'!$B$5:$C$5</c:f>
              <c:numCache>
                <c:formatCode>General</c:formatCode>
                <c:ptCount val="2"/>
                <c:pt idx="0">
                  <c:v>2020</c:v>
                </c:pt>
                <c:pt idx="1">
                  <c:v>2030</c:v>
                </c:pt>
              </c:numCache>
            </c:numRef>
          </c:cat>
          <c:val>
            <c:numRef>
              <c:f>'Pathway Emissions Summary Table'!$B$14:$C$14</c:f>
              <c:numCache>
                <c:formatCode>0</c:formatCode>
                <c:ptCount val="2"/>
                <c:pt idx="0">
                  <c:v>11.62</c:v>
                </c:pt>
                <c:pt idx="1">
                  <c:v>8.1339999999999986</c:v>
                </c:pt>
              </c:numCache>
            </c:numRef>
          </c:val>
          <c:extLst>
            <c:ext xmlns:c16="http://schemas.microsoft.com/office/drawing/2014/chart" uri="{C3380CC4-5D6E-409C-BE32-E72D297353CC}">
              <c16:uniqueId val="{00000008-ED05-4B7B-A4A9-6C9430451812}"/>
            </c:ext>
          </c:extLst>
        </c:ser>
        <c:ser>
          <c:idx val="9"/>
          <c:order val="9"/>
          <c:tx>
            <c:strRef>
              <c:f>'Pathway Emissions Summary Table'!$A$15</c:f>
              <c:strCache>
                <c:ptCount val="1"/>
                <c:pt idx="0">
                  <c:v>Ag - Other</c:v>
                </c:pt>
              </c:strCache>
            </c:strRef>
          </c:tx>
          <c:spPr>
            <a:solidFill>
              <a:schemeClr val="accent1"/>
            </a:solidFill>
            <a:scene3d>
              <a:camera prst="orthographicFront"/>
              <a:lightRig rig="threePt" dir="t"/>
            </a:scene3d>
            <a:sp3d>
              <a:bevelT/>
              <a:bevelB/>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'Pathway Emissions Summary Table'!$B$5:$C$5</c:f>
              <c:numCache>
                <c:formatCode>General</c:formatCode>
                <c:ptCount val="2"/>
                <c:pt idx="0">
                  <c:v>2020</c:v>
                </c:pt>
                <c:pt idx="1">
                  <c:v>2030</c:v>
                </c:pt>
              </c:numCache>
            </c:numRef>
          </c:cat>
          <c:val>
            <c:numRef>
              <c:f>'Pathway Emissions Summary Table'!$B$15:$C$15</c:f>
              <c:numCache>
                <c:formatCode>0</c:formatCode>
                <c:ptCount val="2"/>
                <c:pt idx="0">
                  <c:v>20.79</c:v>
                </c:pt>
                <c:pt idx="1">
                  <c:v>20.79</c:v>
                </c:pt>
              </c:numCache>
            </c:numRef>
          </c:val>
          <c:extLst>
            <c:ext xmlns:c16="http://schemas.microsoft.com/office/drawing/2014/chart" uri="{C3380CC4-5D6E-409C-BE32-E72D297353CC}">
              <c16:uniqueId val="{00000009-ED05-4B7B-A4A9-6C9430451812}"/>
            </c:ext>
          </c:extLst>
        </c:ser>
        <c:dLbls>
          <c:showLegendKey val="0"/>
          <c:showVal val="1"/>
          <c:showCatName val="0"/>
          <c:showSerName val="0"/>
          <c:showPercent val="0"/>
          <c:showBubbleSize val="0"/>
        </c:dLbls>
        <c:gapWidth val="301"/>
        <c:overlap val="100"/>
        <c:axId val="237502848"/>
        <c:axId val="237504384"/>
      </c:barChart>
      <c:catAx>
        <c:axId val="237502848"/>
        <c:scaling>
          <c:orientation val="minMax"/>
        </c:scaling>
        <c:delete val="0"/>
        <c:axPos val="b"/>
        <c:numFmt formatCode="General" sourceLinked="1"/>
        <c:majorTickMark val="none"/>
        <c:minorTickMark val="none"/>
        <c:tickLblPos val="nextTo"/>
        <c:txPr>
          <a:bodyPr/>
          <a:lstStyle/>
          <a:p>
            <a:pPr>
              <a:defRPr sz="1600"/>
            </a:pPr>
            <a:endParaRPr lang="en-US"/>
          </a:p>
        </c:txPr>
        <c:crossAx val="237504384"/>
        <c:crosses val="autoZero"/>
        <c:auto val="1"/>
        <c:lblAlgn val="ctr"/>
        <c:lblOffset val="100"/>
        <c:noMultiLvlLbl val="0"/>
      </c:catAx>
      <c:valAx>
        <c:axId val="237504384"/>
        <c:scaling>
          <c:orientation val="minMax"/>
        </c:scaling>
        <c:delete val="1"/>
        <c:axPos val="l"/>
        <c:numFmt formatCode="0" sourceLinked="1"/>
        <c:majorTickMark val="out"/>
        <c:minorTickMark val="none"/>
        <c:tickLblPos val="nextTo"/>
        <c:crossAx val="237502848"/>
        <c:crosses val="autoZero"/>
        <c:crossBetween val="between"/>
      </c:valAx>
      <c:spPr>
        <a:scene3d>
          <a:camera prst="orthographicFront"/>
          <a:lightRig rig="threePt" dir="t"/>
        </a:scene3d>
        <a:sp3d>
          <a:bevelT/>
          <a:bevelB/>
        </a:sp3d>
      </c:spPr>
    </c:plotArea>
    <c:legend>
      <c:legendPos val="l"/>
      <c:layout>
        <c:manualLayout>
          <c:xMode val="edge"/>
          <c:yMode val="edge"/>
          <c:x val="0.44416359493524848"/>
          <c:y val="0.16440667686395571"/>
          <c:w val="0.27470049642853311"/>
          <c:h val="0.75417322834645673"/>
        </c:manualLayout>
      </c:layout>
      <c:overlay val="0"/>
      <c:txPr>
        <a:bodyPr/>
        <a:lstStyle/>
        <a:p>
          <a:pPr>
            <a:defRPr sz="1800"/>
          </a:pPr>
          <a:endParaRPr lang="en-US"/>
        </a:p>
      </c:txPr>
    </c:legend>
    <c:plotVisOnly val="1"/>
    <c:dispBlanksAs val="gap"/>
    <c:showDLblsOverMax val="0"/>
  </c:chart>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Working</a:t>
            </a:r>
            <a:r>
              <a:rPr lang="en-US" baseline="0"/>
              <a:t> Lands Sequestration Pathways, MMT CO2eq</a:t>
            </a:r>
            <a:endParaRPr lang="en-US"/>
          </a:p>
        </c:rich>
      </c:tx>
      <c:layout>
        <c:manualLayout>
          <c:xMode val="edge"/>
          <c:yMode val="edge"/>
          <c:x val="0.21835897435897436"/>
          <c:y val="1.6131065542615067E-2"/>
        </c:manualLayout>
      </c:layout>
      <c:overlay val="0"/>
    </c:title>
    <c:autoTitleDeleted val="0"/>
    <c:plotArea>
      <c:layout>
        <c:manualLayout>
          <c:layoutTarget val="inner"/>
          <c:xMode val="edge"/>
          <c:yMode val="edge"/>
          <c:x val="0.19029125205503161"/>
          <c:y val="7.6411315505186456E-2"/>
          <c:w val="0.50494003634161111"/>
          <c:h val="0.85667147537815769"/>
        </c:manualLayout>
      </c:layout>
      <c:barChart>
        <c:barDir val="col"/>
        <c:grouping val="stacked"/>
        <c:varyColors val="0"/>
        <c:ser>
          <c:idx val="0"/>
          <c:order val="0"/>
          <c:tx>
            <c:strRef>
              <c:f>'Sequestration Table'!$A$6</c:f>
              <c:strCache>
                <c:ptCount val="1"/>
                <c:pt idx="0">
                  <c:v>N fertilizer avoidance</c:v>
                </c:pt>
              </c:strCache>
            </c:strRef>
          </c:tx>
          <c:spPr>
            <a:solidFill>
              <a:srgbClr val="7030A0">
                <a:alpha val="79000"/>
              </a:srgbClr>
            </a:solidFill>
            <a:scene3d>
              <a:camera prst="orthographicFront"/>
              <a:lightRig rig="threePt" dir="t"/>
            </a:scene3d>
            <a:sp3d>
              <a:bevelT/>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'Sequestration Table'!$B$5</c:f>
              <c:numCache>
                <c:formatCode>General</c:formatCode>
                <c:ptCount val="1"/>
                <c:pt idx="0">
                  <c:v>2030</c:v>
                </c:pt>
              </c:numCache>
            </c:numRef>
          </c:cat>
          <c:val>
            <c:numRef>
              <c:f>'Sequestration Table'!$B$6</c:f>
              <c:numCache>
                <c:formatCode>0.0</c:formatCode>
                <c:ptCount val="1"/>
                <c:pt idx="0">
                  <c:v>8.8000000000000007</c:v>
                </c:pt>
              </c:numCache>
            </c:numRef>
          </c:val>
          <c:extLst>
            <c:ext xmlns:c16="http://schemas.microsoft.com/office/drawing/2014/chart" uri="{C3380CC4-5D6E-409C-BE32-E72D297353CC}">
              <c16:uniqueId val="{00000000-57DD-4302-B3D6-85D6C2AEBA8F}"/>
            </c:ext>
          </c:extLst>
        </c:ser>
        <c:ser>
          <c:idx val="1"/>
          <c:order val="1"/>
          <c:tx>
            <c:strRef>
              <c:f>'Sequestration Table'!$A$7</c:f>
              <c:strCache>
                <c:ptCount val="1"/>
                <c:pt idx="0">
                  <c:v>Roadside forest buffers</c:v>
                </c:pt>
              </c:strCache>
            </c:strRef>
          </c:tx>
          <c:spPr>
            <a:solidFill>
              <a:srgbClr val="FF0000">
                <a:alpha val="77000"/>
              </a:srgbClr>
            </a:solidFill>
            <a:scene3d>
              <a:camera prst="orthographicFront"/>
              <a:lightRig rig="threePt" dir="t"/>
            </a:scene3d>
            <a:sp3d>
              <a:bevelT/>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'Sequestration Table'!$B$5</c:f>
              <c:numCache>
                <c:formatCode>General</c:formatCode>
                <c:ptCount val="1"/>
                <c:pt idx="0">
                  <c:v>2030</c:v>
                </c:pt>
              </c:numCache>
            </c:numRef>
          </c:cat>
          <c:val>
            <c:numRef>
              <c:f>'Sequestration Table'!$B$7</c:f>
              <c:numCache>
                <c:formatCode>0.0</c:formatCode>
                <c:ptCount val="1"/>
                <c:pt idx="0">
                  <c:v>2.7461904000000001</c:v>
                </c:pt>
              </c:numCache>
            </c:numRef>
          </c:val>
          <c:extLst>
            <c:ext xmlns:c16="http://schemas.microsoft.com/office/drawing/2014/chart" uri="{C3380CC4-5D6E-409C-BE32-E72D297353CC}">
              <c16:uniqueId val="{00000001-57DD-4302-B3D6-85D6C2AEBA8F}"/>
            </c:ext>
          </c:extLst>
        </c:ser>
        <c:ser>
          <c:idx val="2"/>
          <c:order val="2"/>
          <c:tx>
            <c:strRef>
              <c:f>'Sequestration Table'!$A$8</c:f>
              <c:strCache>
                <c:ptCount val="1"/>
                <c:pt idx="0">
                  <c:v>Urban Forest</c:v>
                </c:pt>
              </c:strCache>
            </c:strRef>
          </c:tx>
          <c:spPr>
            <a:solidFill>
              <a:schemeClr val="bg1">
                <a:lumMod val="50000"/>
              </a:schemeClr>
            </a:solidFill>
            <a:scene3d>
              <a:camera prst="orthographicFront"/>
              <a:lightRig rig="threePt" dir="t"/>
            </a:scene3d>
            <a:sp3d>
              <a:bevelT/>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'Sequestration Table'!$B$5</c:f>
              <c:numCache>
                <c:formatCode>General</c:formatCode>
                <c:ptCount val="1"/>
                <c:pt idx="0">
                  <c:v>2030</c:v>
                </c:pt>
              </c:numCache>
            </c:numRef>
          </c:cat>
          <c:val>
            <c:numRef>
              <c:f>'Sequestration Table'!$B$8</c:f>
              <c:numCache>
                <c:formatCode>0.0</c:formatCode>
                <c:ptCount val="1"/>
                <c:pt idx="0">
                  <c:v>5.9492232000000014</c:v>
                </c:pt>
              </c:numCache>
            </c:numRef>
          </c:val>
          <c:extLst>
            <c:ext xmlns:c16="http://schemas.microsoft.com/office/drawing/2014/chart" uri="{C3380CC4-5D6E-409C-BE32-E72D297353CC}">
              <c16:uniqueId val="{00000002-57DD-4302-B3D6-85D6C2AEBA8F}"/>
            </c:ext>
          </c:extLst>
        </c:ser>
        <c:ser>
          <c:idx val="3"/>
          <c:order val="3"/>
          <c:tx>
            <c:strRef>
              <c:f>'Sequestration Table'!$A$9</c:f>
              <c:strCache>
                <c:ptCount val="1"/>
                <c:pt idx="0">
                  <c:v>Prescribed grazing</c:v>
                </c:pt>
              </c:strCache>
            </c:strRef>
          </c:tx>
          <c:spPr>
            <a:solidFill>
              <a:srgbClr val="FFFF00"/>
            </a:solidFill>
            <a:scene3d>
              <a:camera prst="orthographicFront"/>
              <a:lightRig rig="threePt" dir="t"/>
            </a:scene3d>
            <a:sp3d>
              <a:bevelT/>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'Sequestration Table'!$B$5</c:f>
              <c:numCache>
                <c:formatCode>General</c:formatCode>
                <c:ptCount val="1"/>
                <c:pt idx="0">
                  <c:v>2030</c:v>
                </c:pt>
              </c:numCache>
            </c:numRef>
          </c:cat>
          <c:val>
            <c:numRef>
              <c:f>'Sequestration Table'!$B$9</c:f>
              <c:numCache>
                <c:formatCode>0.0</c:formatCode>
                <c:ptCount val="1"/>
                <c:pt idx="0">
                  <c:v>0.21799999999999997</c:v>
                </c:pt>
              </c:numCache>
            </c:numRef>
          </c:val>
          <c:extLst>
            <c:ext xmlns:c16="http://schemas.microsoft.com/office/drawing/2014/chart" uri="{C3380CC4-5D6E-409C-BE32-E72D297353CC}">
              <c16:uniqueId val="{00000003-57DD-4302-B3D6-85D6C2AEBA8F}"/>
            </c:ext>
          </c:extLst>
        </c:ser>
        <c:ser>
          <c:idx val="4"/>
          <c:order val="4"/>
          <c:tx>
            <c:strRef>
              <c:f>'Sequestration Table'!$A$10</c:f>
              <c:strCache>
                <c:ptCount val="1"/>
                <c:pt idx="0">
                  <c:v>Riparian Restoration</c:v>
                </c:pt>
              </c:strCache>
            </c:strRef>
          </c:tx>
          <c:spPr>
            <a:solidFill>
              <a:srgbClr val="0070C0"/>
            </a:solidFill>
            <a:scene3d>
              <a:camera prst="orthographicFront"/>
              <a:lightRig rig="threePt" dir="t"/>
            </a:scene3d>
            <a:sp3d>
              <a:bevelT/>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'Sequestration Table'!$B$5</c:f>
              <c:numCache>
                <c:formatCode>General</c:formatCode>
                <c:ptCount val="1"/>
                <c:pt idx="0">
                  <c:v>2030</c:v>
                </c:pt>
              </c:numCache>
            </c:numRef>
          </c:cat>
          <c:val>
            <c:numRef>
              <c:f>'Sequestration Table'!$B$10</c:f>
              <c:numCache>
                <c:formatCode>0.0</c:formatCode>
                <c:ptCount val="1"/>
                <c:pt idx="0">
                  <c:v>1.1840000000000004</c:v>
                </c:pt>
              </c:numCache>
            </c:numRef>
          </c:val>
          <c:extLst>
            <c:ext xmlns:c16="http://schemas.microsoft.com/office/drawing/2014/chart" uri="{C3380CC4-5D6E-409C-BE32-E72D297353CC}">
              <c16:uniqueId val="{00000004-57DD-4302-B3D6-85D6C2AEBA8F}"/>
            </c:ext>
          </c:extLst>
        </c:ser>
        <c:ser>
          <c:idx val="5"/>
          <c:order val="5"/>
          <c:tx>
            <c:strRef>
              <c:f>'Sequestration Table'!$A$11</c:f>
              <c:strCache>
                <c:ptCount val="1"/>
                <c:pt idx="0">
                  <c:v>Agr- forestry</c:v>
                </c:pt>
              </c:strCache>
            </c:strRef>
          </c:tx>
          <c:spPr>
            <a:solidFill>
              <a:srgbClr val="00B050"/>
            </a:solidFill>
            <a:scene3d>
              <a:camera prst="orthographicFront"/>
              <a:lightRig rig="threePt" dir="t"/>
            </a:scene3d>
            <a:sp3d>
              <a:bevelT/>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'Sequestration Table'!$B$5</c:f>
              <c:numCache>
                <c:formatCode>General</c:formatCode>
                <c:ptCount val="1"/>
                <c:pt idx="0">
                  <c:v>2030</c:v>
                </c:pt>
              </c:numCache>
            </c:numRef>
          </c:cat>
          <c:val>
            <c:numRef>
              <c:f>'Sequestration Table'!$B$11</c:f>
              <c:numCache>
                <c:formatCode>0</c:formatCode>
                <c:ptCount val="1"/>
                <c:pt idx="0">
                  <c:v>7.5999999999999988</c:v>
                </c:pt>
              </c:numCache>
            </c:numRef>
          </c:val>
          <c:extLst>
            <c:ext xmlns:c16="http://schemas.microsoft.com/office/drawing/2014/chart" uri="{C3380CC4-5D6E-409C-BE32-E72D297353CC}">
              <c16:uniqueId val="{00000005-57DD-4302-B3D6-85D6C2AEBA8F}"/>
            </c:ext>
          </c:extLst>
        </c:ser>
        <c:ser>
          <c:idx val="6"/>
          <c:order val="6"/>
          <c:tx>
            <c:strRef>
              <c:f>'Sequestration Table'!$A$12</c:f>
              <c:strCache>
                <c:ptCount val="1"/>
                <c:pt idx="0">
                  <c:v>Cropland compost</c:v>
                </c:pt>
              </c:strCache>
            </c:strRef>
          </c:tx>
          <c:spPr>
            <a:solidFill>
              <a:srgbClr val="92D050"/>
            </a:solidFill>
            <a:scene3d>
              <a:camera prst="orthographicFront"/>
              <a:lightRig rig="threePt" dir="t"/>
            </a:scene3d>
            <a:sp3d>
              <a:bevelT w="69850"/>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'Sequestration Table'!$B$5</c:f>
              <c:numCache>
                <c:formatCode>General</c:formatCode>
                <c:ptCount val="1"/>
                <c:pt idx="0">
                  <c:v>2030</c:v>
                </c:pt>
              </c:numCache>
            </c:numRef>
          </c:cat>
          <c:val>
            <c:numRef>
              <c:f>'Sequestration Table'!$B$12</c:f>
              <c:numCache>
                <c:formatCode>0</c:formatCode>
                <c:ptCount val="1"/>
                <c:pt idx="0">
                  <c:v>36.000000000000007</c:v>
                </c:pt>
              </c:numCache>
            </c:numRef>
          </c:val>
          <c:extLst>
            <c:ext xmlns:c16="http://schemas.microsoft.com/office/drawing/2014/chart" uri="{C3380CC4-5D6E-409C-BE32-E72D297353CC}">
              <c16:uniqueId val="{00000006-57DD-4302-B3D6-85D6C2AEBA8F}"/>
            </c:ext>
          </c:extLst>
        </c:ser>
        <c:ser>
          <c:idx val="7"/>
          <c:order val="7"/>
          <c:tx>
            <c:strRef>
              <c:f>'Sequestration Table'!$A$13</c:f>
              <c:strCache>
                <c:ptCount val="1"/>
                <c:pt idx="0">
                  <c:v>Pasture compost</c:v>
                </c:pt>
              </c:strCache>
            </c:strRef>
          </c:tx>
          <c:spPr>
            <a:solidFill>
              <a:schemeClr val="accent6">
                <a:lumMod val="75000"/>
              </a:schemeClr>
            </a:solidFill>
            <a:scene3d>
              <a:camera prst="orthographicFront"/>
              <a:lightRig rig="threePt" dir="t"/>
            </a:scene3d>
            <a:sp3d>
              <a:bevelT/>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'Sequestration Table'!$B$5</c:f>
              <c:numCache>
                <c:formatCode>General</c:formatCode>
                <c:ptCount val="1"/>
                <c:pt idx="0">
                  <c:v>2030</c:v>
                </c:pt>
              </c:numCache>
            </c:numRef>
          </c:cat>
          <c:val>
            <c:numRef>
              <c:f>'Sequestration Table'!$B$13</c:f>
              <c:numCache>
                <c:formatCode>0</c:formatCode>
                <c:ptCount val="1"/>
                <c:pt idx="0">
                  <c:v>34.65</c:v>
                </c:pt>
              </c:numCache>
            </c:numRef>
          </c:val>
          <c:extLst>
            <c:ext xmlns:c16="http://schemas.microsoft.com/office/drawing/2014/chart" uri="{C3380CC4-5D6E-409C-BE32-E72D297353CC}">
              <c16:uniqueId val="{00000007-57DD-4302-B3D6-85D6C2AEBA8F}"/>
            </c:ext>
          </c:extLst>
        </c:ser>
        <c:ser>
          <c:idx val="8"/>
          <c:order val="8"/>
          <c:tx>
            <c:strRef>
              <c:f>'Sequestration Table'!$A$14</c:f>
              <c:strCache>
                <c:ptCount val="1"/>
                <c:pt idx="0">
                  <c:v>Rangeland compost</c:v>
                </c:pt>
              </c:strCache>
            </c:strRef>
          </c:tx>
          <c:spPr>
            <a:solidFill>
              <a:srgbClr val="FF0000"/>
            </a:solidFill>
            <a:scene3d>
              <a:camera prst="orthographicFront"/>
              <a:lightRig rig="threePt" dir="t"/>
            </a:scene3d>
            <a:sp3d>
              <a:bevelT w="69850"/>
              <a:bevelB/>
            </a:sp3d>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'Sequestration Table'!$B$5</c:f>
              <c:numCache>
                <c:formatCode>General</c:formatCode>
                <c:ptCount val="1"/>
                <c:pt idx="0">
                  <c:v>2030</c:v>
                </c:pt>
              </c:numCache>
            </c:numRef>
          </c:cat>
          <c:val>
            <c:numRef>
              <c:f>'Sequestration Table'!$B$14</c:f>
              <c:numCache>
                <c:formatCode>0.0</c:formatCode>
                <c:ptCount val="1"/>
                <c:pt idx="0">
                  <c:v>5.2448000000000015</c:v>
                </c:pt>
              </c:numCache>
            </c:numRef>
          </c:val>
          <c:extLst>
            <c:ext xmlns:c16="http://schemas.microsoft.com/office/drawing/2014/chart" uri="{C3380CC4-5D6E-409C-BE32-E72D297353CC}">
              <c16:uniqueId val="{00000008-57DD-4302-B3D6-85D6C2AEBA8F}"/>
            </c:ext>
          </c:extLst>
        </c:ser>
        <c:dLbls>
          <c:showLegendKey val="0"/>
          <c:showVal val="1"/>
          <c:showCatName val="0"/>
          <c:showSerName val="0"/>
          <c:showPercent val="0"/>
          <c:showBubbleSize val="0"/>
        </c:dLbls>
        <c:gapWidth val="301"/>
        <c:overlap val="100"/>
        <c:axId val="237726720"/>
        <c:axId val="237736704"/>
      </c:barChart>
      <c:catAx>
        <c:axId val="237726720"/>
        <c:scaling>
          <c:orientation val="minMax"/>
        </c:scaling>
        <c:delete val="0"/>
        <c:axPos val="b"/>
        <c:numFmt formatCode="General" sourceLinked="1"/>
        <c:majorTickMark val="none"/>
        <c:minorTickMark val="none"/>
        <c:tickLblPos val="nextTo"/>
        <c:txPr>
          <a:bodyPr/>
          <a:lstStyle/>
          <a:p>
            <a:pPr>
              <a:defRPr sz="1600"/>
            </a:pPr>
            <a:endParaRPr lang="en-US"/>
          </a:p>
        </c:txPr>
        <c:crossAx val="237736704"/>
        <c:crosses val="autoZero"/>
        <c:auto val="1"/>
        <c:lblAlgn val="ctr"/>
        <c:lblOffset val="100"/>
        <c:noMultiLvlLbl val="0"/>
      </c:catAx>
      <c:valAx>
        <c:axId val="237736704"/>
        <c:scaling>
          <c:orientation val="minMax"/>
          <c:max val="105"/>
          <c:min val="0"/>
        </c:scaling>
        <c:delete val="1"/>
        <c:axPos val="l"/>
        <c:numFmt formatCode="0.0" sourceLinked="1"/>
        <c:majorTickMark val="out"/>
        <c:minorTickMark val="none"/>
        <c:tickLblPos val="nextTo"/>
        <c:crossAx val="237726720"/>
        <c:crosses val="autoZero"/>
        <c:crossBetween val="between"/>
      </c:valAx>
      <c:spPr>
        <a:scene3d>
          <a:camera prst="orthographicFront"/>
          <a:lightRig rig="threePt" dir="t"/>
        </a:scene3d>
        <a:sp3d>
          <a:bevelT/>
          <a:bevelB/>
        </a:sp3d>
      </c:spPr>
    </c:plotArea>
    <c:legend>
      <c:legendPos val="l"/>
      <c:layout>
        <c:manualLayout>
          <c:xMode val="edge"/>
          <c:yMode val="edge"/>
          <c:x val="0.70643465720631071"/>
          <c:y val="0.17239961695577732"/>
          <c:w val="0.2876605852930279"/>
          <c:h val="0.75035906423046472"/>
        </c:manualLayout>
      </c:layout>
      <c:overlay val="0"/>
      <c:txPr>
        <a:bodyPr/>
        <a:lstStyle/>
        <a:p>
          <a:pPr>
            <a:defRPr sz="1800"/>
          </a:pPr>
          <a:endParaRPr lang="en-US"/>
        </a:p>
      </c:txPr>
    </c:legend>
    <c:plotVisOnly val="1"/>
    <c:dispBlanksAs val="gap"/>
    <c:showDLblsOverMax val="0"/>
  </c:chart>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Pathways</a:t>
            </a:r>
            <a:r>
              <a:rPr lang="en-US" baseline="0"/>
              <a:t> Sector Summary and Net GHG Emissions, MMT CO2eq</a:t>
            </a:r>
            <a:endParaRPr lang="en-US"/>
          </a:p>
        </c:rich>
      </c:tx>
      <c:overlay val="0"/>
    </c:title>
    <c:autoTitleDeleted val="0"/>
    <c:plotArea>
      <c:layout>
        <c:manualLayout>
          <c:layoutTarget val="inner"/>
          <c:xMode val="edge"/>
          <c:yMode val="edge"/>
          <c:x val="6.8845844250143257E-2"/>
          <c:y val="7.4672036265103187E-2"/>
          <c:w val="0.8311704054535356"/>
          <c:h val="0.90109894478276309"/>
        </c:manualLayout>
      </c:layout>
      <c:barChart>
        <c:barDir val="col"/>
        <c:grouping val="stacked"/>
        <c:varyColors val="0"/>
        <c:ser>
          <c:idx val="6"/>
          <c:order val="0"/>
          <c:tx>
            <c:strRef>
              <c:f>'Pathways Sectors Net Bar Data'!$A$3</c:f>
              <c:strCache>
                <c:ptCount val="1"/>
                <c:pt idx="0">
                  <c:v>Net GHG</c:v>
                </c:pt>
              </c:strCache>
            </c:strRef>
          </c:tx>
          <c:spPr>
            <a:solidFill>
              <a:srgbClr val="C87684"/>
            </a:solidFill>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'Pathways Sectors Net Bar Data'!$B$2:$E$2</c:f>
              <c:strCache>
                <c:ptCount val="4"/>
                <c:pt idx="0">
                  <c:v>2020 Emissions</c:v>
                </c:pt>
                <c:pt idx="1">
                  <c:v>2030 Emissions</c:v>
                </c:pt>
                <c:pt idx="3">
                  <c:v>2030 Net</c:v>
                </c:pt>
              </c:strCache>
            </c:strRef>
          </c:cat>
          <c:val>
            <c:numRef>
              <c:f>'Pathways Sectors Net Bar Data'!$B$3:$E$3</c:f>
              <c:numCache>
                <c:formatCode>General</c:formatCode>
                <c:ptCount val="4"/>
                <c:pt idx="3" formatCode="0">
                  <c:v>155.18356432216405</c:v>
                </c:pt>
              </c:numCache>
            </c:numRef>
          </c:val>
          <c:extLst>
            <c:ext xmlns:c16="http://schemas.microsoft.com/office/drawing/2014/chart" uri="{C3380CC4-5D6E-409C-BE32-E72D297353CC}">
              <c16:uniqueId val="{00000000-10C7-45D3-AA8D-F619974FE1FC}"/>
            </c:ext>
          </c:extLst>
        </c:ser>
        <c:ser>
          <c:idx val="5"/>
          <c:order val="1"/>
          <c:tx>
            <c:strRef>
              <c:f>'Pathways Sectors Net Bar Data'!$A$4</c:f>
              <c:strCache>
                <c:ptCount val="1"/>
                <c:pt idx="0">
                  <c:v>Sequestration</c:v>
                </c:pt>
              </c:strCache>
            </c:strRef>
          </c:tx>
          <c:spPr>
            <a:solidFill>
              <a:schemeClr val="accent6">
                <a:lumMod val="50000"/>
                <a:alpha val="73000"/>
              </a:schemeClr>
            </a:solidFill>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'Pathways Sectors Net Bar Data'!$B$2:$E$2</c:f>
              <c:strCache>
                <c:ptCount val="4"/>
                <c:pt idx="0">
                  <c:v>2020 Emissions</c:v>
                </c:pt>
                <c:pt idx="1">
                  <c:v>2030 Emissions</c:v>
                </c:pt>
                <c:pt idx="3">
                  <c:v>2030 Net</c:v>
                </c:pt>
              </c:strCache>
            </c:strRef>
          </c:cat>
          <c:val>
            <c:numRef>
              <c:f>'Pathways Sectors Net Bar Data'!$B$4:$E$4</c:f>
              <c:numCache>
                <c:formatCode>General</c:formatCode>
                <c:ptCount val="4"/>
                <c:pt idx="2" formatCode="0">
                  <c:v>-102.39221360000001</c:v>
                </c:pt>
              </c:numCache>
            </c:numRef>
          </c:val>
          <c:extLst>
            <c:ext xmlns:c16="http://schemas.microsoft.com/office/drawing/2014/chart" uri="{C3380CC4-5D6E-409C-BE32-E72D297353CC}">
              <c16:uniqueId val="{00000001-10C7-45D3-AA8D-F619974FE1FC}"/>
            </c:ext>
          </c:extLst>
        </c:ser>
        <c:ser>
          <c:idx val="0"/>
          <c:order val="2"/>
          <c:tx>
            <c:strRef>
              <c:f>'Pathways Sectors Net Bar Data'!$A$5</c:f>
              <c:strCache>
                <c:ptCount val="1"/>
                <c:pt idx="0">
                  <c:v>Transportation</c:v>
                </c:pt>
              </c:strCache>
            </c:strRef>
          </c:tx>
          <c:spPr>
            <a:solidFill>
              <a:srgbClr val="00B050"/>
            </a:solidFill>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'Pathways Sectors Net Bar Data'!$B$2:$E$2</c:f>
              <c:strCache>
                <c:ptCount val="4"/>
                <c:pt idx="0">
                  <c:v>2020 Emissions</c:v>
                </c:pt>
                <c:pt idx="1">
                  <c:v>2030 Emissions</c:v>
                </c:pt>
                <c:pt idx="3">
                  <c:v>2030 Net</c:v>
                </c:pt>
              </c:strCache>
            </c:strRef>
          </c:cat>
          <c:val>
            <c:numRef>
              <c:f>'Pathways Sectors Net Bar Data'!$B$5:$E$5</c:f>
              <c:numCache>
                <c:formatCode>0</c:formatCode>
                <c:ptCount val="4"/>
                <c:pt idx="0">
                  <c:v>174.3</c:v>
                </c:pt>
                <c:pt idx="1">
                  <c:v>100.7889855</c:v>
                </c:pt>
              </c:numCache>
            </c:numRef>
          </c:val>
          <c:extLst>
            <c:ext xmlns:c16="http://schemas.microsoft.com/office/drawing/2014/chart" uri="{C3380CC4-5D6E-409C-BE32-E72D297353CC}">
              <c16:uniqueId val="{00000002-10C7-45D3-AA8D-F619974FE1FC}"/>
            </c:ext>
          </c:extLst>
        </c:ser>
        <c:ser>
          <c:idx val="1"/>
          <c:order val="3"/>
          <c:tx>
            <c:strRef>
              <c:f>'Pathways Sectors Net Bar Data'!$A$6</c:f>
              <c:strCache>
                <c:ptCount val="1"/>
                <c:pt idx="0">
                  <c:v>Industrial</c:v>
                </c:pt>
              </c:strCache>
            </c:strRef>
          </c:tx>
          <c:spPr>
            <a:solidFill>
              <a:srgbClr val="C00000"/>
            </a:solidFill>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'Pathways Sectors Net Bar Data'!$B$2:$E$2</c:f>
              <c:strCache>
                <c:ptCount val="4"/>
                <c:pt idx="0">
                  <c:v>2020 Emissions</c:v>
                </c:pt>
                <c:pt idx="1">
                  <c:v>2030 Emissions</c:v>
                </c:pt>
                <c:pt idx="3">
                  <c:v>2030 Net</c:v>
                </c:pt>
              </c:strCache>
            </c:strRef>
          </c:cat>
          <c:val>
            <c:numRef>
              <c:f>'Pathways Sectors Net Bar Data'!$B$6:$E$6</c:f>
              <c:numCache>
                <c:formatCode>0</c:formatCode>
                <c:ptCount val="4"/>
                <c:pt idx="0">
                  <c:v>101.13999999999999</c:v>
                </c:pt>
                <c:pt idx="1">
                  <c:v>77.436322572614102</c:v>
                </c:pt>
              </c:numCache>
            </c:numRef>
          </c:val>
          <c:extLst>
            <c:ext xmlns:c16="http://schemas.microsoft.com/office/drawing/2014/chart" uri="{C3380CC4-5D6E-409C-BE32-E72D297353CC}">
              <c16:uniqueId val="{00000003-10C7-45D3-AA8D-F619974FE1FC}"/>
            </c:ext>
          </c:extLst>
        </c:ser>
        <c:ser>
          <c:idx val="2"/>
          <c:order val="4"/>
          <c:tx>
            <c:strRef>
              <c:f>'Pathways Sectors Net Bar Data'!$A$7</c:f>
              <c:strCache>
                <c:ptCount val="1"/>
                <c:pt idx="0">
                  <c:v>Electricity</c:v>
                </c:pt>
              </c:strCache>
            </c:strRef>
          </c:tx>
          <c:spPr>
            <a:solidFill>
              <a:srgbClr val="FFC000"/>
            </a:solidFill>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'Pathways Sectors Net Bar Data'!$B$2:$E$2</c:f>
              <c:strCache>
                <c:ptCount val="4"/>
                <c:pt idx="0">
                  <c:v>2020 Emissions</c:v>
                </c:pt>
                <c:pt idx="1">
                  <c:v>2030 Emissions</c:v>
                </c:pt>
                <c:pt idx="3">
                  <c:v>2030 Net</c:v>
                </c:pt>
              </c:strCache>
            </c:strRef>
          </c:cat>
          <c:val>
            <c:numRef>
              <c:f>'Pathways Sectors Net Bar Data'!$B$7:$E$7</c:f>
              <c:numCache>
                <c:formatCode>0</c:formatCode>
                <c:ptCount val="4"/>
                <c:pt idx="0">
                  <c:v>62.453403515053587</c:v>
                </c:pt>
                <c:pt idx="1">
                  <c:v>12.493659849549974</c:v>
                </c:pt>
              </c:numCache>
            </c:numRef>
          </c:val>
          <c:extLst>
            <c:ext xmlns:c16="http://schemas.microsoft.com/office/drawing/2014/chart" uri="{C3380CC4-5D6E-409C-BE32-E72D297353CC}">
              <c16:uniqueId val="{00000004-10C7-45D3-AA8D-F619974FE1FC}"/>
            </c:ext>
          </c:extLst>
        </c:ser>
        <c:ser>
          <c:idx val="3"/>
          <c:order val="5"/>
          <c:tx>
            <c:strRef>
              <c:f>'Pathways Sectors Net Bar Data'!$A$8</c:f>
              <c:strCache>
                <c:ptCount val="1"/>
                <c:pt idx="0">
                  <c:v>Com'l + Resid.</c:v>
                </c:pt>
              </c:strCache>
            </c:strRef>
          </c:tx>
          <c:spPr>
            <a:solidFill>
              <a:srgbClr val="7030A0">
                <a:alpha val="62000"/>
              </a:srgbClr>
            </a:solidFill>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'Pathways Sectors Net Bar Data'!$B$2:$E$2</c:f>
              <c:strCache>
                <c:ptCount val="4"/>
                <c:pt idx="0">
                  <c:v>2020 Emissions</c:v>
                </c:pt>
                <c:pt idx="1">
                  <c:v>2030 Emissions</c:v>
                </c:pt>
                <c:pt idx="3">
                  <c:v>2030 Net</c:v>
                </c:pt>
              </c:strCache>
            </c:strRef>
          </c:cat>
          <c:val>
            <c:numRef>
              <c:f>'Pathways Sectors Net Bar Data'!$B$8:$E$8</c:f>
              <c:numCache>
                <c:formatCode>0</c:formatCode>
                <c:ptCount val="4"/>
                <c:pt idx="0">
                  <c:v>53.66</c:v>
                </c:pt>
                <c:pt idx="1">
                  <c:v>37.932810000000003</c:v>
                </c:pt>
              </c:numCache>
            </c:numRef>
          </c:val>
          <c:extLst>
            <c:ext xmlns:c16="http://schemas.microsoft.com/office/drawing/2014/chart" uri="{C3380CC4-5D6E-409C-BE32-E72D297353CC}">
              <c16:uniqueId val="{00000005-10C7-45D3-AA8D-F619974FE1FC}"/>
            </c:ext>
          </c:extLst>
        </c:ser>
        <c:ser>
          <c:idx val="4"/>
          <c:order val="6"/>
          <c:tx>
            <c:strRef>
              <c:f>'Pathways Sectors Net Bar Data'!$A$9</c:f>
              <c:strCache>
                <c:ptCount val="1"/>
                <c:pt idx="0">
                  <c:v>Ag &amp; Forestry</c:v>
                </c:pt>
              </c:strCache>
            </c:strRef>
          </c:tx>
          <c:spPr>
            <a:solidFill>
              <a:srgbClr val="00B0F0"/>
            </a:solidFill>
          </c:spPr>
          <c:invertIfNegative val="0"/>
          <c:dLbls>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'Pathways Sectors Net Bar Data'!$B$2:$E$2</c:f>
              <c:strCache>
                <c:ptCount val="4"/>
                <c:pt idx="0">
                  <c:v>2020 Emissions</c:v>
                </c:pt>
                <c:pt idx="1">
                  <c:v>2030 Emissions</c:v>
                </c:pt>
                <c:pt idx="3">
                  <c:v>2030 Net</c:v>
                </c:pt>
              </c:strCache>
            </c:strRef>
          </c:cat>
          <c:val>
            <c:numRef>
              <c:f>'Pathways Sectors Net Bar Data'!$B$9:$E$9</c:f>
              <c:numCache>
                <c:formatCode>0</c:formatCode>
                <c:ptCount val="4"/>
                <c:pt idx="0">
                  <c:v>32.409999999999997</c:v>
                </c:pt>
                <c:pt idx="1">
                  <c:v>28.923999999999999</c:v>
                </c:pt>
              </c:numCache>
            </c:numRef>
          </c:val>
          <c:extLst>
            <c:ext xmlns:c16="http://schemas.microsoft.com/office/drawing/2014/chart" uri="{C3380CC4-5D6E-409C-BE32-E72D297353CC}">
              <c16:uniqueId val="{00000006-10C7-45D3-AA8D-F619974FE1FC}"/>
            </c:ext>
          </c:extLst>
        </c:ser>
        <c:dLbls>
          <c:showLegendKey val="0"/>
          <c:showVal val="1"/>
          <c:showCatName val="0"/>
          <c:showSerName val="0"/>
          <c:showPercent val="0"/>
          <c:showBubbleSize val="0"/>
        </c:dLbls>
        <c:gapWidth val="95"/>
        <c:overlap val="100"/>
        <c:axId val="237976192"/>
        <c:axId val="237994368"/>
      </c:barChart>
      <c:catAx>
        <c:axId val="237976192"/>
        <c:scaling>
          <c:orientation val="minMax"/>
        </c:scaling>
        <c:delete val="0"/>
        <c:axPos val="b"/>
        <c:numFmt formatCode="General" sourceLinked="1"/>
        <c:majorTickMark val="none"/>
        <c:minorTickMark val="none"/>
        <c:tickLblPos val="nextTo"/>
        <c:txPr>
          <a:bodyPr/>
          <a:lstStyle/>
          <a:p>
            <a:pPr>
              <a:defRPr sz="1600"/>
            </a:pPr>
            <a:endParaRPr lang="en-US"/>
          </a:p>
        </c:txPr>
        <c:crossAx val="237994368"/>
        <c:crosses val="autoZero"/>
        <c:auto val="1"/>
        <c:lblAlgn val="ctr"/>
        <c:lblOffset val="100"/>
        <c:noMultiLvlLbl val="0"/>
      </c:catAx>
      <c:valAx>
        <c:axId val="237994368"/>
        <c:scaling>
          <c:orientation val="minMax"/>
          <c:max val="500"/>
          <c:min val="-200"/>
        </c:scaling>
        <c:delete val="1"/>
        <c:axPos val="l"/>
        <c:numFmt formatCode="General" sourceLinked="1"/>
        <c:majorTickMark val="out"/>
        <c:minorTickMark val="none"/>
        <c:tickLblPos val="nextTo"/>
        <c:crossAx val="237976192"/>
        <c:crosses val="autoZero"/>
        <c:crossBetween val="between"/>
      </c:valAx>
    </c:plotArea>
    <c:legend>
      <c:legendPos val="r"/>
      <c:layout>
        <c:manualLayout>
          <c:xMode val="edge"/>
          <c:yMode val="edge"/>
          <c:x val="0.48548110869794009"/>
          <c:y val="0.18280318176638755"/>
          <c:w val="0.21863241321530136"/>
          <c:h val="0.42649192821304444"/>
        </c:manualLayout>
      </c:layout>
      <c:overlay val="0"/>
      <c:txPr>
        <a:bodyPr/>
        <a:lstStyle/>
        <a:p>
          <a:pPr>
            <a:defRPr sz="2000"/>
          </a:pPr>
          <a:endParaRPr lang="en-US"/>
        </a:p>
      </c:txPr>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7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7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D7CBA93-FDB6-4115-90E6-D3899FD1E24B}">
  <sheetPr/>
  <sheetViews>
    <sheetView zoomScale="8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zoomScale="7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zoomScale="7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70"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80"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28575</xdr:colOff>
      <xdr:row>6</xdr:row>
      <xdr:rowOff>9525</xdr:rowOff>
    </xdr:from>
    <xdr:to>
      <xdr:col>8</xdr:col>
      <xdr:colOff>174978</xdr:colOff>
      <xdr:row>10</xdr:row>
      <xdr:rowOff>11613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295775" y="1295400"/>
          <a:ext cx="756003" cy="764088"/>
        </a:xfrm>
        <a:prstGeom prst="rect">
          <a:avLst/>
        </a:prstGeom>
      </xdr:spPr>
    </xdr:pic>
    <xdr:clientData/>
  </xdr:twoCellAnchor>
  <xdr:twoCellAnchor editAs="oneCell">
    <xdr:from>
      <xdr:col>7</xdr:col>
      <xdr:colOff>0</xdr:colOff>
      <xdr:row>13</xdr:row>
      <xdr:rowOff>0</xdr:rowOff>
    </xdr:from>
    <xdr:to>
      <xdr:col>8</xdr:col>
      <xdr:colOff>243243</xdr:colOff>
      <xdr:row>17</xdr:row>
      <xdr:rowOff>9525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67200" y="2238375"/>
          <a:ext cx="852843" cy="77152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0.16918</cdr:x>
      <cdr:y>0.06482</cdr:y>
    </cdr:from>
    <cdr:to>
      <cdr:x>0.18172</cdr:x>
      <cdr:y>0.09939</cdr:y>
    </cdr:to>
    <cdr:sp macro="" textlink="">
      <cdr:nvSpPr>
        <cdr:cNvPr id="6" name="TextBox 5"/>
        <cdr:cNvSpPr txBox="1"/>
      </cdr:nvSpPr>
      <cdr:spPr>
        <a:xfrm xmlns:a="http://schemas.openxmlformats.org/drawingml/2006/main">
          <a:off x="1469571" y="408214"/>
          <a:ext cx="108858" cy="217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0.25378</cdr:x>
      <cdr:y>0.05468</cdr:y>
    </cdr:from>
    <cdr:to>
      <cdr:x>0.72216</cdr:x>
      <cdr:y>0.10005</cdr:y>
    </cdr:to>
    <cdr:sp macro="" textlink="">
      <cdr:nvSpPr>
        <cdr:cNvPr id="7" name="TextBox 6"/>
        <cdr:cNvSpPr txBox="1"/>
      </cdr:nvSpPr>
      <cdr:spPr>
        <a:xfrm xmlns:a="http://schemas.openxmlformats.org/drawingml/2006/main">
          <a:off x="2204357" y="344366"/>
          <a:ext cx="406853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t>Million Metric Tonnes Carbon Dioxide Equivalent </a:t>
          </a:r>
        </a:p>
      </cdr:txBody>
    </cdr:sp>
  </cdr:relSizeAnchor>
  <cdr:relSizeAnchor xmlns:cdr="http://schemas.openxmlformats.org/drawingml/2006/chartDrawing">
    <cdr:from>
      <cdr:x>0.16448</cdr:x>
      <cdr:y>0.09333</cdr:y>
    </cdr:from>
    <cdr:to>
      <cdr:x>0.60196</cdr:x>
      <cdr:y>0.18438</cdr:y>
    </cdr:to>
    <cdr:sp macro="" textlink="">
      <cdr:nvSpPr>
        <cdr:cNvPr id="8" name="TextBox 1"/>
        <cdr:cNvSpPr txBox="1"/>
      </cdr:nvSpPr>
      <cdr:spPr>
        <a:xfrm xmlns:a="http://schemas.openxmlformats.org/drawingml/2006/main">
          <a:off x="1423433" y="585449"/>
          <a:ext cx="3786015" cy="5711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600" b="0" i="0" u="none" strike="noStrike">
              <a:solidFill>
                <a:srgbClr val="000000"/>
              </a:solidFill>
              <a:latin typeface="Calibri"/>
              <a:cs typeface="Calibri"/>
            </a:rPr>
            <a:t>Substitution of Electricity</a:t>
          </a:r>
          <a:r>
            <a:rPr lang="en-US" sz="1600" b="0" i="0" u="none" strike="noStrike" baseline="0">
              <a:solidFill>
                <a:srgbClr val="000000"/>
              </a:solidFill>
              <a:latin typeface="Calibri"/>
              <a:cs typeface="Calibri"/>
            </a:rPr>
            <a:t> for Natural Gas in Commercial and Residential Buildings</a:t>
          </a:r>
          <a:endParaRPr lang="en-US" sz="1600"/>
        </a:p>
      </cdr:txBody>
    </cdr:sp>
  </cdr:relSizeAnchor>
  <cdr:relSizeAnchor xmlns:cdr="http://schemas.openxmlformats.org/drawingml/2006/chartDrawing">
    <cdr:from>
      <cdr:x>0.5943</cdr:x>
      <cdr:y>0.11719</cdr:y>
    </cdr:from>
    <cdr:to>
      <cdr:x>0.67106</cdr:x>
      <cdr:y>0.16472</cdr:y>
    </cdr:to>
    <cdr:sp macro="" textlink="'Bldgs Gas-&gt;Elec Data'!$D$3">
      <cdr:nvSpPr>
        <cdr:cNvPr id="9" name="TextBox 1"/>
        <cdr:cNvSpPr txBox="1"/>
      </cdr:nvSpPr>
      <cdr:spPr>
        <a:xfrm xmlns:a="http://schemas.openxmlformats.org/drawingml/2006/main">
          <a:off x="5143145" y="735128"/>
          <a:ext cx="664292" cy="2981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939EAA4-E8CB-4DDF-887F-AFA33EC66946}" type="TxLink">
            <a:rPr lang="en-US" sz="1600" b="0" i="0" u="none" strike="noStrike">
              <a:solidFill>
                <a:srgbClr val="000000"/>
              </a:solidFill>
              <a:latin typeface="Calibri"/>
              <a:cs typeface="Calibri"/>
            </a:rPr>
            <a:pPr/>
            <a:t>50%</a:t>
          </a:fld>
          <a:endParaRPr lang="en-US" sz="1600"/>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0.27684</cdr:x>
      <cdr:y>0.06482</cdr:y>
    </cdr:from>
    <cdr:to>
      <cdr:x>0.28938</cdr:x>
      <cdr:y>0.09939</cdr:y>
    </cdr:to>
    <cdr:sp macro="" textlink="">
      <cdr:nvSpPr>
        <cdr:cNvPr id="6" name="TextBox 5"/>
        <cdr:cNvSpPr txBox="1"/>
      </cdr:nvSpPr>
      <cdr:spPr>
        <a:xfrm xmlns:a="http://schemas.openxmlformats.org/drawingml/2006/main">
          <a:off x="2399556" y="407491"/>
          <a:ext cx="108694" cy="2173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0.25378</cdr:x>
      <cdr:y>0.05468</cdr:y>
    </cdr:from>
    <cdr:to>
      <cdr:x>0.72216</cdr:x>
      <cdr:y>0.10005</cdr:y>
    </cdr:to>
    <cdr:sp macro="" textlink="">
      <cdr:nvSpPr>
        <cdr:cNvPr id="7" name="TextBox 6"/>
        <cdr:cNvSpPr txBox="1"/>
      </cdr:nvSpPr>
      <cdr:spPr>
        <a:xfrm xmlns:a="http://schemas.openxmlformats.org/drawingml/2006/main">
          <a:off x="2204357" y="344366"/>
          <a:ext cx="406853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t>Million Metric Tonnes Carbon Dioxide Equivalent </a:t>
          </a:r>
        </a:p>
      </cdr:txBody>
    </cdr:sp>
  </cdr:relSizeAnchor>
  <cdr:relSizeAnchor xmlns:cdr="http://schemas.openxmlformats.org/drawingml/2006/chartDrawing">
    <cdr:from>
      <cdr:x>0</cdr:x>
      <cdr:y>0.11859</cdr:y>
    </cdr:from>
    <cdr:to>
      <cdr:x>0.21693</cdr:x>
      <cdr:y>0.20585</cdr:y>
    </cdr:to>
    <cdr:sp macro="" textlink="">
      <cdr:nvSpPr>
        <cdr:cNvPr id="8" name="TextBox 1"/>
        <cdr:cNvSpPr txBox="1"/>
      </cdr:nvSpPr>
      <cdr:spPr>
        <a:xfrm xmlns:a="http://schemas.openxmlformats.org/drawingml/2006/main">
          <a:off x="0" y="745518"/>
          <a:ext cx="1880301" cy="548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600" b="0" i="0" u="none" strike="noStrike">
              <a:solidFill>
                <a:srgbClr val="000000"/>
              </a:solidFill>
              <a:latin typeface="Calibri"/>
              <a:cs typeface="Calibri"/>
            </a:rPr>
            <a:t>2030 Renewable Generation Content</a:t>
          </a:r>
          <a:endParaRPr lang="en-US" sz="1600"/>
        </a:p>
      </cdr:txBody>
    </cdr:sp>
  </cdr:relSizeAnchor>
  <cdr:relSizeAnchor xmlns:cdr="http://schemas.openxmlformats.org/drawingml/2006/chartDrawing">
    <cdr:from>
      <cdr:x>0.21262</cdr:x>
      <cdr:y>0.13984</cdr:y>
    </cdr:from>
    <cdr:to>
      <cdr:x>0.28938</cdr:x>
      <cdr:y>0.18737</cdr:y>
    </cdr:to>
    <cdr:sp macro="" textlink="#REF!">
      <cdr:nvSpPr>
        <cdr:cNvPr id="9" name="TextBox 1"/>
        <cdr:cNvSpPr txBox="1"/>
      </cdr:nvSpPr>
      <cdr:spPr>
        <a:xfrm xmlns:a="http://schemas.openxmlformats.org/drawingml/2006/main">
          <a:off x="1842914" y="879078"/>
          <a:ext cx="665336" cy="2987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634A7BD-1BDA-43DA-B1AA-EEF5B04DECBB}" type="TxLink">
            <a:rPr lang="en-US" sz="1600" b="0" i="0" u="none" strike="noStrike">
              <a:solidFill>
                <a:srgbClr val="000000"/>
              </a:solidFill>
              <a:latin typeface="Calibri"/>
              <a:cs typeface="Calibri"/>
            </a:rPr>
            <a:pPr/>
            <a:t>70%</a:t>
          </a:fld>
          <a:endParaRPr lang="en-US" sz="1600"/>
        </a:p>
      </cdr:txBody>
    </cdr:sp>
  </cdr:relSizeAnchor>
  <cdr:relSizeAnchor xmlns:cdr="http://schemas.openxmlformats.org/drawingml/2006/chartDrawing">
    <cdr:from>
      <cdr:x>0.00997</cdr:x>
      <cdr:y>0.20956</cdr:y>
    </cdr:from>
    <cdr:to>
      <cdr:x>0.21693</cdr:x>
      <cdr:y>0.30556</cdr:y>
    </cdr:to>
    <cdr:sp macro="" textlink="">
      <cdr:nvSpPr>
        <cdr:cNvPr id="10" name="TextBox 1"/>
        <cdr:cNvSpPr txBox="1"/>
      </cdr:nvSpPr>
      <cdr:spPr>
        <a:xfrm xmlns:a="http://schemas.openxmlformats.org/drawingml/2006/main">
          <a:off x="86426" y="1317380"/>
          <a:ext cx="1793875" cy="6034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600" b="0" i="0" u="none" strike="noStrike">
              <a:solidFill>
                <a:srgbClr val="000000"/>
              </a:solidFill>
              <a:latin typeface="Calibri"/>
              <a:cs typeface="Calibri"/>
            </a:rPr>
            <a:t>Electrification of </a:t>
          </a:r>
          <a:r>
            <a:rPr lang="en-US" sz="1600" b="0" i="0" u="none" strike="noStrike" baseline="0">
              <a:solidFill>
                <a:srgbClr val="000000"/>
              </a:solidFill>
              <a:latin typeface="Calibri"/>
              <a:cs typeface="Calibri"/>
            </a:rPr>
            <a:t>Buildings</a:t>
          </a:r>
          <a:endParaRPr lang="en-US" sz="1600"/>
        </a:p>
      </cdr:txBody>
    </cdr:sp>
  </cdr:relSizeAnchor>
  <cdr:relSizeAnchor xmlns:cdr="http://schemas.openxmlformats.org/drawingml/2006/chartDrawing">
    <cdr:from>
      <cdr:x>0.21262</cdr:x>
      <cdr:y>0.23317</cdr:y>
    </cdr:from>
    <cdr:to>
      <cdr:x>0.28938</cdr:x>
      <cdr:y>0.2807</cdr:y>
    </cdr:to>
    <cdr:sp macro="" textlink="'Bldgs Gas-&gt;Elec Data'!$D$3">
      <cdr:nvSpPr>
        <cdr:cNvPr id="11" name="TextBox 1"/>
        <cdr:cNvSpPr txBox="1"/>
      </cdr:nvSpPr>
      <cdr:spPr>
        <a:xfrm xmlns:a="http://schemas.openxmlformats.org/drawingml/2006/main">
          <a:off x="1842914" y="1465839"/>
          <a:ext cx="665336" cy="2987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fld id="{8BF2FF9E-C329-4A50-89A9-C0D88D9BD885}" type="TxLink">
            <a:rPr lang="en-US" sz="1600" b="0" i="0" u="none" strike="noStrike">
              <a:solidFill>
                <a:srgbClr val="000000"/>
              </a:solidFill>
              <a:latin typeface="Calibri"/>
              <a:ea typeface="+mn-ea"/>
              <a:cs typeface="Calibri"/>
            </a:rPr>
            <a:pPr marL="0" indent="0"/>
            <a:t>50%</a:t>
          </a:fld>
          <a:endParaRPr lang="en-US" sz="1600" b="0" i="0" u="none" strike="noStrike">
            <a:solidFill>
              <a:srgbClr val="000000"/>
            </a:solidFill>
            <a:latin typeface="Calibri"/>
            <a:ea typeface="+mn-ea"/>
            <a:cs typeface="Calibri"/>
          </a:endParaRPr>
        </a:p>
      </cdr:txBody>
    </cdr:sp>
  </cdr:relSizeAnchor>
  <cdr:relSizeAnchor xmlns:cdr="http://schemas.openxmlformats.org/drawingml/2006/chartDrawing">
    <cdr:from>
      <cdr:x>0.02078</cdr:x>
      <cdr:y>0.31061</cdr:y>
    </cdr:from>
    <cdr:to>
      <cdr:x>0.21693</cdr:x>
      <cdr:y>0.42546</cdr:y>
    </cdr:to>
    <cdr:sp macro="" textlink="">
      <cdr:nvSpPr>
        <cdr:cNvPr id="12" name="TextBox 1"/>
        <cdr:cNvSpPr txBox="1"/>
      </cdr:nvSpPr>
      <cdr:spPr>
        <a:xfrm xmlns:a="http://schemas.openxmlformats.org/drawingml/2006/main">
          <a:off x="180091" y="1952624"/>
          <a:ext cx="1700210" cy="7220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600"/>
            <a:t>Conversion</a:t>
          </a:r>
          <a:r>
            <a:rPr lang="en-US" sz="1600" baseline="0"/>
            <a:t> to Electric Vehicles </a:t>
          </a:r>
          <a:endParaRPr lang="en-US" sz="1600"/>
        </a:p>
      </cdr:txBody>
    </cdr:sp>
  </cdr:relSizeAnchor>
  <cdr:relSizeAnchor xmlns:cdr="http://schemas.openxmlformats.org/drawingml/2006/chartDrawing">
    <cdr:from>
      <cdr:x>0.21262</cdr:x>
      <cdr:y>0.33687</cdr:y>
    </cdr:from>
    <cdr:to>
      <cdr:x>0.28938</cdr:x>
      <cdr:y>0.3844</cdr:y>
    </cdr:to>
    <cdr:sp macro="" textlink="'EV Conversion Data'!$E$2">
      <cdr:nvSpPr>
        <cdr:cNvPr id="13" name="TextBox 2"/>
        <cdr:cNvSpPr txBox="1"/>
      </cdr:nvSpPr>
      <cdr:spPr>
        <a:xfrm xmlns:a="http://schemas.openxmlformats.org/drawingml/2006/main">
          <a:off x="1842914" y="2117761"/>
          <a:ext cx="665336" cy="2987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6209329-185C-44EE-802A-A2FDEBC1B802}" type="TxLink">
            <a:rPr lang="en-US" sz="1600" b="0" i="0" u="none" strike="noStrike">
              <a:solidFill>
                <a:srgbClr val="000000"/>
              </a:solidFill>
              <a:latin typeface="Calibri"/>
              <a:cs typeface="Calibri"/>
            </a:rPr>
            <a:pPr/>
            <a:t>50%</a:t>
          </a:fld>
          <a:endParaRPr lang="en-US" sz="1600"/>
        </a:p>
      </cdr:txBody>
    </cdr:sp>
  </cdr:relSizeAnchor>
  <cdr:relSizeAnchor xmlns:cdr="http://schemas.openxmlformats.org/drawingml/2006/chartDrawing">
    <cdr:from>
      <cdr:x>0.44584</cdr:x>
      <cdr:y>0.45455</cdr:y>
    </cdr:from>
    <cdr:to>
      <cdr:x>0.57614</cdr:x>
      <cdr:y>0.57359</cdr:y>
    </cdr:to>
    <cdr:sp macro="" textlink="">
      <cdr:nvSpPr>
        <cdr:cNvPr id="2" name="TextBox 1">
          <a:extLst xmlns:a="http://schemas.openxmlformats.org/drawingml/2006/main">
            <a:ext uri="{FF2B5EF4-FFF2-40B4-BE49-F238E27FC236}">
              <a16:creationId xmlns:a16="http://schemas.microsoft.com/office/drawing/2014/main" id="{D29FA273-7E47-4D76-B7D5-B6E016CEBE13}"/>
            </a:ext>
          </a:extLst>
        </cdr:cNvPr>
        <cdr:cNvSpPr txBox="1"/>
      </cdr:nvSpPr>
      <cdr:spPr>
        <a:xfrm xmlns:a="http://schemas.openxmlformats.org/drawingml/2006/main">
          <a:off x="3864428" y="2857500"/>
          <a:ext cx="1129393" cy="7483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t>2030 New</a:t>
          </a:r>
          <a:r>
            <a:rPr lang="en-US" sz="1400" b="1" baseline="0"/>
            <a:t> PV and</a:t>
          </a:r>
          <a:r>
            <a:rPr lang="en-US" sz="1400" b="1"/>
            <a:t> Efficiency</a:t>
          </a:r>
        </a:p>
      </cdr:txBody>
    </cdr:sp>
  </cdr:relSizeAnchor>
  <cdr:relSizeAnchor xmlns:cdr="http://schemas.openxmlformats.org/drawingml/2006/chartDrawing">
    <cdr:from>
      <cdr:x>0.57441</cdr:x>
      <cdr:y>0.45238</cdr:y>
    </cdr:from>
    <cdr:to>
      <cdr:x>0.70016</cdr:x>
      <cdr:y>0.5671</cdr:y>
    </cdr:to>
    <cdr:sp macro="" textlink="">
      <cdr:nvSpPr>
        <cdr:cNvPr id="14" name="TextBox 1">
          <a:extLst xmlns:a="http://schemas.openxmlformats.org/drawingml/2006/main">
            <a:ext uri="{FF2B5EF4-FFF2-40B4-BE49-F238E27FC236}">
              <a16:creationId xmlns:a16="http://schemas.microsoft.com/office/drawing/2014/main" id="{C86759D9-3FBA-4452-90E5-FDBBD2D73374}"/>
            </a:ext>
          </a:extLst>
        </cdr:cNvPr>
        <cdr:cNvSpPr txBox="1"/>
      </cdr:nvSpPr>
      <cdr:spPr>
        <a:xfrm xmlns:a="http://schemas.openxmlformats.org/drawingml/2006/main">
          <a:off x="4978854" y="2843893"/>
          <a:ext cx="1089932" cy="7211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t>2030 New </a:t>
          </a:r>
          <a:r>
            <a:rPr lang="en-US" sz="1400" b="1" baseline="0"/>
            <a:t> Renewable Generation</a:t>
          </a:r>
          <a:endParaRPr lang="en-US" sz="1400" b="1"/>
        </a:p>
      </cdr:txBody>
    </cdr:sp>
  </cdr:relSizeAnchor>
  <cdr:relSizeAnchor xmlns:cdr="http://schemas.openxmlformats.org/drawingml/2006/chartDrawing">
    <cdr:from>
      <cdr:x>0.71648</cdr:x>
      <cdr:y>0.57049</cdr:y>
    </cdr:from>
    <cdr:to>
      <cdr:x>0.85871</cdr:x>
      <cdr:y>0.75974</cdr:y>
    </cdr:to>
    <cdr:sp macro="" textlink="">
      <cdr:nvSpPr>
        <cdr:cNvPr id="17" name="TextBox 1">
          <a:extLst xmlns:a="http://schemas.openxmlformats.org/drawingml/2006/main">
            <a:ext uri="{FF2B5EF4-FFF2-40B4-BE49-F238E27FC236}">
              <a16:creationId xmlns:a16="http://schemas.microsoft.com/office/drawing/2014/main" id="{63412043-BB7D-4927-9EAB-ADF011C1B4A1}"/>
            </a:ext>
          </a:extLst>
        </cdr:cNvPr>
        <cdr:cNvSpPr txBox="1"/>
      </cdr:nvSpPr>
      <cdr:spPr>
        <a:xfrm xmlns:a="http://schemas.openxmlformats.org/drawingml/2006/main">
          <a:off x="6210298" y="3586389"/>
          <a:ext cx="1232808" cy="11897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t>2030</a:t>
          </a:r>
          <a:r>
            <a:rPr lang="en-US" sz="1400" b="1" baseline="0"/>
            <a:t> New Building Electrification and EV Charging</a:t>
          </a:r>
          <a:endParaRPr lang="en-US" sz="1400" b="1"/>
        </a:p>
      </cdr:txBody>
    </cdr:sp>
  </cdr:relSizeAnchor>
  <cdr:relSizeAnchor xmlns:cdr="http://schemas.openxmlformats.org/drawingml/2006/chartDrawing">
    <cdr:from>
      <cdr:x>0.02078</cdr:x>
      <cdr:y>0.44495</cdr:y>
    </cdr:from>
    <cdr:to>
      <cdr:x>0.21693</cdr:x>
      <cdr:y>0.55981</cdr:y>
    </cdr:to>
    <cdr:sp macro="" textlink="">
      <cdr:nvSpPr>
        <cdr:cNvPr id="19" name="TextBox 1">
          <a:extLst xmlns:a="http://schemas.openxmlformats.org/drawingml/2006/main">
            <a:ext uri="{FF2B5EF4-FFF2-40B4-BE49-F238E27FC236}">
              <a16:creationId xmlns:a16="http://schemas.microsoft.com/office/drawing/2014/main" id="{1C48CD9C-1999-4EAA-B12C-EFAEB7F415E6}"/>
            </a:ext>
          </a:extLst>
        </cdr:cNvPr>
        <cdr:cNvSpPr txBox="1"/>
      </cdr:nvSpPr>
      <cdr:spPr>
        <a:xfrm xmlns:a="http://schemas.openxmlformats.org/drawingml/2006/main">
          <a:off x="180091" y="2797175"/>
          <a:ext cx="1700210" cy="7220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600"/>
            <a:t>% of</a:t>
          </a:r>
          <a:r>
            <a:rPr lang="en-US" sz="1600" baseline="0"/>
            <a:t> Statutory Energy Efficiency</a:t>
          </a:r>
          <a:endParaRPr lang="en-US" sz="1600"/>
        </a:p>
      </cdr:txBody>
    </cdr:sp>
  </cdr:relSizeAnchor>
  <cdr:relSizeAnchor xmlns:cdr="http://schemas.openxmlformats.org/drawingml/2006/chartDrawing">
    <cdr:from>
      <cdr:x>0.03012</cdr:x>
      <cdr:y>0.56061</cdr:y>
    </cdr:from>
    <cdr:to>
      <cdr:x>0.21693</cdr:x>
      <cdr:y>0.67677</cdr:y>
    </cdr:to>
    <cdr:sp macro="" textlink="">
      <cdr:nvSpPr>
        <cdr:cNvPr id="89" name="TextBox 88">
          <a:extLst xmlns:a="http://schemas.openxmlformats.org/drawingml/2006/main">
            <a:ext uri="{FF2B5EF4-FFF2-40B4-BE49-F238E27FC236}">
              <a16:creationId xmlns:a16="http://schemas.microsoft.com/office/drawing/2014/main" id="{35CAE36A-90CB-4239-9371-F60887185569}"/>
            </a:ext>
          </a:extLst>
        </cdr:cNvPr>
        <cdr:cNvSpPr txBox="1"/>
      </cdr:nvSpPr>
      <cdr:spPr>
        <a:xfrm xmlns:a="http://schemas.openxmlformats.org/drawingml/2006/main">
          <a:off x="261051" y="3524250"/>
          <a:ext cx="1619250" cy="730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600" baseline="0">
              <a:latin typeface="+mn-lt"/>
              <a:ea typeface="+mn-ea"/>
              <a:cs typeface="+mn-cs"/>
            </a:rPr>
            <a:t>% of IEPR High Case PV Capacity</a:t>
          </a:r>
        </a:p>
      </cdr:txBody>
    </cdr:sp>
  </cdr:relSizeAnchor>
  <cdr:relSizeAnchor xmlns:cdr="http://schemas.openxmlformats.org/drawingml/2006/chartDrawing">
    <cdr:from>
      <cdr:x>0.21245</cdr:x>
      <cdr:y>0.4596</cdr:y>
    </cdr:from>
    <cdr:to>
      <cdr:x>0.28938</cdr:x>
      <cdr:y>0.51263</cdr:y>
    </cdr:to>
    <cdr:sp macro="" textlink="'Pathways Model'!$AF$4">
      <cdr:nvSpPr>
        <cdr:cNvPr id="90" name="TextBox 89">
          <a:extLst xmlns:a="http://schemas.openxmlformats.org/drawingml/2006/main">
            <a:ext uri="{FF2B5EF4-FFF2-40B4-BE49-F238E27FC236}">
              <a16:creationId xmlns:a16="http://schemas.microsoft.com/office/drawing/2014/main" id="{B34844EB-9C91-4A94-860A-EFB1A379B458}"/>
            </a:ext>
          </a:extLst>
        </cdr:cNvPr>
        <cdr:cNvSpPr txBox="1"/>
      </cdr:nvSpPr>
      <cdr:spPr>
        <a:xfrm xmlns:a="http://schemas.openxmlformats.org/drawingml/2006/main">
          <a:off x="1841500" y="2889250"/>
          <a:ext cx="666750" cy="3333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indent="0"/>
          <a:fld id="{CE39B992-C9E6-4B9A-ABF8-7D0551D7804A}" type="TxLink">
            <a:rPr lang="en-US" sz="1600" b="0" i="0" u="none" strike="noStrike">
              <a:solidFill>
                <a:srgbClr val="000000"/>
              </a:solidFill>
              <a:latin typeface="Calibri"/>
              <a:ea typeface="+mn-ea"/>
              <a:cs typeface="Calibri"/>
            </a:rPr>
            <a:pPr marL="0" indent="0"/>
            <a:t>150%</a:t>
          </a:fld>
          <a:endParaRPr lang="en-US" sz="1600" b="0" i="0" u="none" strike="noStrike">
            <a:solidFill>
              <a:srgbClr val="000000"/>
            </a:solidFill>
            <a:latin typeface="Calibri"/>
            <a:ea typeface="+mn-ea"/>
            <a:cs typeface="Calibri"/>
          </a:endParaRPr>
        </a:p>
      </cdr:txBody>
    </cdr:sp>
  </cdr:relSizeAnchor>
  <cdr:relSizeAnchor xmlns:cdr="http://schemas.openxmlformats.org/drawingml/2006/chartDrawing">
    <cdr:from>
      <cdr:x>0.21429</cdr:x>
      <cdr:y>0.57323</cdr:y>
    </cdr:from>
    <cdr:to>
      <cdr:x>0.28938</cdr:x>
      <cdr:y>0.62121</cdr:y>
    </cdr:to>
    <cdr:sp macro="" textlink="'Pathways Model'!$AF$6">
      <cdr:nvSpPr>
        <cdr:cNvPr id="91" name="TextBox 90">
          <a:extLst xmlns:a="http://schemas.openxmlformats.org/drawingml/2006/main">
            <a:ext uri="{FF2B5EF4-FFF2-40B4-BE49-F238E27FC236}">
              <a16:creationId xmlns:a16="http://schemas.microsoft.com/office/drawing/2014/main" id="{0ED7EA37-B229-45C5-A490-19E5D842873C}"/>
            </a:ext>
          </a:extLst>
        </cdr:cNvPr>
        <cdr:cNvSpPr txBox="1"/>
      </cdr:nvSpPr>
      <cdr:spPr>
        <a:xfrm xmlns:a="http://schemas.openxmlformats.org/drawingml/2006/main">
          <a:off x="1857375" y="3603625"/>
          <a:ext cx="650875" cy="3016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indent="0"/>
          <a:fld id="{3905DF4B-74E2-4BFD-95D0-116D0475679D}" type="TxLink">
            <a:rPr lang="en-US" sz="1600" b="0" i="0" u="none" strike="noStrike">
              <a:solidFill>
                <a:srgbClr val="000000"/>
              </a:solidFill>
              <a:latin typeface="Calibri"/>
              <a:ea typeface="+mn-ea"/>
              <a:cs typeface="Calibri"/>
            </a:rPr>
            <a:pPr marL="0" indent="0"/>
            <a:t>150%</a:t>
          </a:fld>
          <a:endParaRPr lang="en-US" sz="1600" b="0" i="0" u="none" strike="noStrike">
            <a:solidFill>
              <a:srgbClr val="000000"/>
            </a:solidFill>
            <a:latin typeface="Calibri"/>
            <a:ea typeface="+mn-ea"/>
            <a:cs typeface="Calibri"/>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0.16918</cdr:x>
      <cdr:y>0.06482</cdr:y>
    </cdr:from>
    <cdr:to>
      <cdr:x>0.18172</cdr:x>
      <cdr:y>0.09939</cdr:y>
    </cdr:to>
    <cdr:sp macro="" textlink="">
      <cdr:nvSpPr>
        <cdr:cNvPr id="6" name="TextBox 5"/>
        <cdr:cNvSpPr txBox="1"/>
      </cdr:nvSpPr>
      <cdr:spPr>
        <a:xfrm xmlns:a="http://schemas.openxmlformats.org/drawingml/2006/main">
          <a:off x="1469571" y="408214"/>
          <a:ext cx="108858" cy="217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0.25378</cdr:x>
      <cdr:y>0.05468</cdr:y>
    </cdr:from>
    <cdr:to>
      <cdr:x>0.72216</cdr:x>
      <cdr:y>0.10005</cdr:y>
    </cdr:to>
    <cdr:sp macro="" textlink="">
      <cdr:nvSpPr>
        <cdr:cNvPr id="7" name="TextBox 6"/>
        <cdr:cNvSpPr txBox="1"/>
      </cdr:nvSpPr>
      <cdr:spPr>
        <a:xfrm xmlns:a="http://schemas.openxmlformats.org/drawingml/2006/main">
          <a:off x="2204357" y="344366"/>
          <a:ext cx="406853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t>Million Metric Tonnes Carbon Dioxide Equivalent </a:t>
          </a:r>
        </a:p>
      </cdr:txBody>
    </cdr:sp>
  </cdr:relSizeAnchor>
  <cdr:relSizeAnchor xmlns:cdr="http://schemas.openxmlformats.org/drawingml/2006/chartDrawing">
    <cdr:from>
      <cdr:x>0.17579</cdr:x>
      <cdr:y>0.11802</cdr:y>
    </cdr:from>
    <cdr:to>
      <cdr:x>0.60196</cdr:x>
      <cdr:y>0.16661</cdr:y>
    </cdr:to>
    <cdr:sp macro="" textlink="">
      <cdr:nvSpPr>
        <cdr:cNvPr id="8" name="TextBox 1"/>
        <cdr:cNvSpPr txBox="1"/>
      </cdr:nvSpPr>
      <cdr:spPr>
        <a:xfrm xmlns:a="http://schemas.openxmlformats.org/drawingml/2006/main">
          <a:off x="1521354" y="740326"/>
          <a:ext cx="3688094" cy="3047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600" b="0" i="0" u="none" strike="noStrike">
              <a:solidFill>
                <a:srgbClr val="000000"/>
              </a:solidFill>
              <a:latin typeface="Calibri"/>
              <a:cs typeface="Calibri"/>
            </a:rPr>
            <a:t>Industrial Energy</a:t>
          </a:r>
          <a:r>
            <a:rPr lang="en-US" sz="1600" b="0" i="0" u="none" strike="noStrike" baseline="0">
              <a:solidFill>
                <a:srgbClr val="000000"/>
              </a:solidFill>
              <a:latin typeface="Calibri"/>
              <a:cs typeface="Calibri"/>
            </a:rPr>
            <a:t> Efficiency Improvement</a:t>
          </a:r>
          <a:endParaRPr lang="en-US" sz="1600"/>
        </a:p>
      </cdr:txBody>
    </cdr:sp>
  </cdr:relSizeAnchor>
  <cdr:relSizeAnchor xmlns:cdr="http://schemas.openxmlformats.org/drawingml/2006/chartDrawing">
    <cdr:from>
      <cdr:x>0.5943</cdr:x>
      <cdr:y>0.11719</cdr:y>
    </cdr:from>
    <cdr:to>
      <cdr:x>0.67106</cdr:x>
      <cdr:y>0.16472</cdr:y>
    </cdr:to>
    <cdr:sp macro="" textlink="'Ind EE Ag Manure Data'!$D$3">
      <cdr:nvSpPr>
        <cdr:cNvPr id="9" name="TextBox 1"/>
        <cdr:cNvSpPr txBox="1"/>
      </cdr:nvSpPr>
      <cdr:spPr>
        <a:xfrm xmlns:a="http://schemas.openxmlformats.org/drawingml/2006/main">
          <a:off x="5143157" y="735120"/>
          <a:ext cx="664292" cy="2981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9E2D47D-316A-4EA1-8D78-370D74DBF066}" type="TxLink">
            <a:rPr lang="en-US" sz="1600" b="0" i="0" u="none" strike="noStrike">
              <a:solidFill>
                <a:srgbClr val="000000"/>
              </a:solidFill>
              <a:latin typeface="Calibri"/>
              <a:cs typeface="Calibri"/>
            </a:rPr>
            <a:pPr/>
            <a:t>30%</a:t>
          </a:fld>
          <a:endParaRPr lang="en-US" sz="1600"/>
        </a:p>
      </cdr:txBody>
    </cdr:sp>
  </cdr:relSizeAnchor>
  <cdr:relSizeAnchor xmlns:cdr="http://schemas.openxmlformats.org/drawingml/2006/chartDrawing">
    <cdr:from>
      <cdr:x>0.14369</cdr:x>
      <cdr:y>0.20001</cdr:y>
    </cdr:from>
    <cdr:to>
      <cdr:x>0.59927</cdr:x>
      <cdr:y>0.26362</cdr:y>
    </cdr:to>
    <cdr:sp macro="" textlink="">
      <cdr:nvSpPr>
        <cdr:cNvPr id="10" name="TextBox 1"/>
        <cdr:cNvSpPr txBox="1"/>
      </cdr:nvSpPr>
      <cdr:spPr>
        <a:xfrm xmlns:a="http://schemas.openxmlformats.org/drawingml/2006/main">
          <a:off x="1243542" y="1254631"/>
          <a:ext cx="3942626" cy="3990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600" b="0" i="0" u="none" strike="noStrike">
              <a:solidFill>
                <a:srgbClr val="000000"/>
              </a:solidFill>
              <a:latin typeface="Calibri"/>
              <a:cs typeface="Calibri"/>
            </a:rPr>
            <a:t>Agriculture</a:t>
          </a:r>
          <a:r>
            <a:rPr lang="en-US" sz="1600" b="0" i="0" u="none" strike="noStrike" baseline="0">
              <a:solidFill>
                <a:srgbClr val="000000"/>
              </a:solidFill>
              <a:latin typeface="Calibri"/>
              <a:cs typeface="Calibri"/>
            </a:rPr>
            <a:t> Manure Management Reduction</a:t>
          </a:r>
          <a:endParaRPr lang="en-US" sz="1600"/>
        </a:p>
      </cdr:txBody>
    </cdr:sp>
  </cdr:relSizeAnchor>
  <cdr:relSizeAnchor xmlns:cdr="http://schemas.openxmlformats.org/drawingml/2006/chartDrawing">
    <cdr:from>
      <cdr:x>0.59161</cdr:x>
      <cdr:y>0.20067</cdr:y>
    </cdr:from>
    <cdr:to>
      <cdr:x>0.66837</cdr:x>
      <cdr:y>0.2482</cdr:y>
    </cdr:to>
    <cdr:sp macro="" textlink="'Ind EE Ag Manure Data'!$D$4">
      <cdr:nvSpPr>
        <cdr:cNvPr id="11" name="TextBox 1"/>
        <cdr:cNvSpPr txBox="1"/>
      </cdr:nvSpPr>
      <cdr:spPr>
        <a:xfrm xmlns:a="http://schemas.openxmlformats.org/drawingml/2006/main">
          <a:off x="5119887" y="1258812"/>
          <a:ext cx="664292" cy="2981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0A3CF0D-F56E-490F-ACC7-EEF851E55210}" type="TxLink">
            <a:rPr lang="en-US" sz="1600" b="0" i="0" u="none" strike="noStrike">
              <a:solidFill>
                <a:srgbClr val="000000"/>
              </a:solidFill>
              <a:latin typeface="Calibri"/>
              <a:cs typeface="Calibri"/>
            </a:rPr>
            <a:pPr/>
            <a:t>30%</a:t>
          </a:fld>
          <a:endParaRPr lang="en-US" sz="1600"/>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0.0055</cdr:x>
      <cdr:y>0.14299</cdr:y>
    </cdr:from>
    <cdr:to>
      <cdr:x>0.12511</cdr:x>
      <cdr:y>0.18276</cdr:y>
    </cdr:to>
    <cdr:sp macro="" textlink="">
      <cdr:nvSpPr>
        <cdr:cNvPr id="2" name="TextBox 1"/>
        <cdr:cNvSpPr txBox="1"/>
      </cdr:nvSpPr>
      <cdr:spPr>
        <a:xfrm xmlns:a="http://schemas.openxmlformats.org/drawingml/2006/main">
          <a:off x="47626" y="898921"/>
          <a:ext cx="1035844" cy="2500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Manure Mgmt </a:t>
          </a:r>
        </a:p>
      </cdr:txBody>
    </cdr:sp>
  </cdr:relSizeAnchor>
  <cdr:relSizeAnchor xmlns:cdr="http://schemas.openxmlformats.org/drawingml/2006/chartDrawing">
    <cdr:from>
      <cdr:x>0.1911</cdr:x>
      <cdr:y>0.14773</cdr:y>
    </cdr:from>
    <cdr:to>
      <cdr:x>0.23784</cdr:x>
      <cdr:y>0.18182</cdr:y>
    </cdr:to>
    <cdr:sp macro="" textlink="">
      <cdr:nvSpPr>
        <cdr:cNvPr id="3" name="TextBox 2"/>
        <cdr:cNvSpPr txBox="1"/>
      </cdr:nvSpPr>
      <cdr:spPr>
        <a:xfrm xmlns:a="http://schemas.openxmlformats.org/drawingml/2006/main">
          <a:off x="1654969" y="928688"/>
          <a:ext cx="404812"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0.11273</cdr:x>
      <cdr:y>0.14773</cdr:y>
    </cdr:from>
    <cdr:to>
      <cdr:x>0.1636</cdr:x>
      <cdr:y>0.17803</cdr:y>
    </cdr:to>
    <cdr:sp macro="" textlink="">
      <cdr:nvSpPr>
        <cdr:cNvPr id="5" name="TextBox 4"/>
        <cdr:cNvSpPr txBox="1"/>
      </cdr:nvSpPr>
      <cdr:spPr>
        <a:xfrm xmlns:a="http://schemas.openxmlformats.org/drawingml/2006/main">
          <a:off x="975582" y="926694"/>
          <a:ext cx="440236" cy="1900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solidFill>
              <a:sysClr val="windowText" lastClr="000000"/>
            </a:solidFill>
          </a:endParaRPr>
        </a:p>
      </cdr:txBody>
    </cdr:sp>
  </cdr:relSizeAnchor>
  <cdr:relSizeAnchor xmlns:cdr="http://schemas.openxmlformats.org/drawingml/2006/chartDrawing">
    <cdr:from>
      <cdr:x>0.11273</cdr:x>
      <cdr:y>0.14299</cdr:y>
    </cdr:from>
    <cdr:to>
      <cdr:x>0.1636</cdr:x>
      <cdr:y>0.18277</cdr:y>
    </cdr:to>
    <cdr:sp macro="" textlink="'Pathways Model'!$AT$4">
      <cdr:nvSpPr>
        <cdr:cNvPr id="6" name="TextBox 5"/>
        <cdr:cNvSpPr txBox="1"/>
      </cdr:nvSpPr>
      <cdr:spPr>
        <a:xfrm xmlns:a="http://schemas.openxmlformats.org/drawingml/2006/main">
          <a:off x="975582" y="896961"/>
          <a:ext cx="440236" cy="2495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A53EB40-0D77-4B03-8267-647C621B7BCA}" type="TxLink">
            <a:rPr lang="en-US" sz="1100" b="1" i="0" u="none" strike="noStrike">
              <a:solidFill>
                <a:sysClr val="windowText" lastClr="000000"/>
              </a:solidFill>
              <a:latin typeface="Calibri"/>
              <a:cs typeface="Calibri"/>
            </a:rPr>
            <a:pPr/>
            <a:t>30%</a:t>
          </a:fld>
          <a:endParaRPr lang="en-US" sz="1100">
            <a:solidFill>
              <a:sysClr val="windowText" lastClr="000000"/>
            </a:solidFill>
          </a:endParaRPr>
        </a:p>
      </cdr:txBody>
    </cdr:sp>
  </cdr:relSizeAnchor>
  <cdr:relSizeAnchor xmlns:cdr="http://schemas.openxmlformats.org/drawingml/2006/chartDrawing">
    <cdr:from>
      <cdr:x>0.0055</cdr:x>
      <cdr:y>0.1947</cdr:y>
    </cdr:from>
    <cdr:to>
      <cdr:x>0.10586</cdr:x>
      <cdr:y>0.27424</cdr:y>
    </cdr:to>
    <cdr:sp macro="" textlink="">
      <cdr:nvSpPr>
        <cdr:cNvPr id="7" name="TextBox 6"/>
        <cdr:cNvSpPr txBox="1"/>
      </cdr:nvSpPr>
      <cdr:spPr>
        <a:xfrm xmlns:a="http://schemas.openxmlformats.org/drawingml/2006/main">
          <a:off x="47626" y="1223962"/>
          <a:ext cx="869155" cy="50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Com'l + Res </a:t>
          </a:r>
        </a:p>
        <a:p xmlns:a="http://schemas.openxmlformats.org/drawingml/2006/main">
          <a:r>
            <a:rPr lang="en-US" sz="1100"/>
            <a:t>Natural Gas</a:t>
          </a:r>
        </a:p>
      </cdr:txBody>
    </cdr:sp>
  </cdr:relSizeAnchor>
  <cdr:relSizeAnchor xmlns:cdr="http://schemas.openxmlformats.org/drawingml/2006/chartDrawing">
    <cdr:from>
      <cdr:x>0.11273</cdr:x>
      <cdr:y>0.21458</cdr:y>
    </cdr:from>
    <cdr:to>
      <cdr:x>0.17185</cdr:x>
      <cdr:y>0.25436</cdr:y>
    </cdr:to>
    <cdr:sp macro="" textlink="'Pathways Model'!$T$5">
      <cdr:nvSpPr>
        <cdr:cNvPr id="8" name="TextBox 7"/>
        <cdr:cNvSpPr txBox="1"/>
      </cdr:nvSpPr>
      <cdr:spPr>
        <a:xfrm xmlns:a="http://schemas.openxmlformats.org/drawingml/2006/main">
          <a:off x="975582" y="1346037"/>
          <a:ext cx="511632" cy="2495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C6979F0-191F-42BB-A996-1A25A9C1092A}" type="TxLink">
            <a:rPr lang="en-US" sz="1100" b="1" i="0" u="none" strike="noStrike">
              <a:solidFill>
                <a:sysClr val="windowText" lastClr="000000"/>
              </a:solidFill>
              <a:latin typeface="Calibri"/>
              <a:cs typeface="Calibri"/>
            </a:rPr>
            <a:pPr/>
            <a:t>50%</a:t>
          </a:fld>
          <a:endParaRPr lang="en-US" sz="1100">
            <a:solidFill>
              <a:sysClr val="windowText" lastClr="000000"/>
            </a:solidFill>
          </a:endParaRPr>
        </a:p>
      </cdr:txBody>
    </cdr:sp>
  </cdr:relSizeAnchor>
  <cdr:relSizeAnchor xmlns:cdr="http://schemas.openxmlformats.org/drawingml/2006/chartDrawing">
    <cdr:from>
      <cdr:x>0.01099</cdr:x>
      <cdr:y>0.27424</cdr:y>
    </cdr:from>
    <cdr:to>
      <cdr:x>0.11822</cdr:x>
      <cdr:y>0.34621</cdr:y>
    </cdr:to>
    <cdr:sp macro="" textlink="">
      <cdr:nvSpPr>
        <cdr:cNvPr id="11" name="TextBox 10"/>
        <cdr:cNvSpPr txBox="1"/>
      </cdr:nvSpPr>
      <cdr:spPr>
        <a:xfrm xmlns:a="http://schemas.openxmlformats.org/drawingml/2006/main">
          <a:off x="95298" y="1727280"/>
          <a:ext cx="929442" cy="453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Industrial-</a:t>
          </a:r>
        </a:p>
        <a:p xmlns:a="http://schemas.openxmlformats.org/drawingml/2006/main">
          <a:r>
            <a:rPr lang="en-US" sz="1100"/>
            <a:t>Eff. Capable</a:t>
          </a:r>
        </a:p>
      </cdr:txBody>
    </cdr:sp>
  </cdr:relSizeAnchor>
  <cdr:relSizeAnchor xmlns:cdr="http://schemas.openxmlformats.org/drawingml/2006/chartDrawing">
    <cdr:from>
      <cdr:x>0.11273</cdr:x>
      <cdr:y>0.28466</cdr:y>
    </cdr:from>
    <cdr:to>
      <cdr:x>0.16222</cdr:x>
      <cdr:y>0.3358</cdr:y>
    </cdr:to>
    <cdr:sp macro="" textlink="'Pathways Model'!$AQ$4">
      <cdr:nvSpPr>
        <cdr:cNvPr id="12" name="TextBox 11"/>
        <cdr:cNvSpPr txBox="1"/>
      </cdr:nvSpPr>
      <cdr:spPr>
        <a:xfrm xmlns:a="http://schemas.openxmlformats.org/drawingml/2006/main">
          <a:off x="975582" y="1785642"/>
          <a:ext cx="428293" cy="3207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15B8FC7-C0F7-4473-83DC-C04E30AA1FF0}" type="TxLink">
            <a:rPr lang="en-US" sz="1100" b="1" i="0" u="none" strike="noStrike">
              <a:solidFill>
                <a:sysClr val="windowText" lastClr="000000"/>
              </a:solidFill>
              <a:latin typeface="Calibri"/>
              <a:cs typeface="Calibri"/>
            </a:rPr>
            <a:pPr/>
            <a:t>30%</a:t>
          </a:fld>
          <a:endParaRPr lang="en-US" sz="1100">
            <a:solidFill>
              <a:sysClr val="windowText" lastClr="000000"/>
            </a:solidFill>
          </a:endParaRPr>
        </a:p>
      </cdr:txBody>
    </cdr:sp>
  </cdr:relSizeAnchor>
  <cdr:relSizeAnchor xmlns:cdr="http://schemas.openxmlformats.org/drawingml/2006/chartDrawing">
    <cdr:from>
      <cdr:x>0.01236</cdr:x>
      <cdr:y>0.44943</cdr:y>
    </cdr:from>
    <cdr:to>
      <cdr:x>0.10722</cdr:x>
      <cdr:y>0.55739</cdr:y>
    </cdr:to>
    <cdr:sp macro="" textlink="">
      <cdr:nvSpPr>
        <cdr:cNvPr id="13" name="TextBox 12"/>
        <cdr:cNvSpPr txBox="1"/>
      </cdr:nvSpPr>
      <cdr:spPr>
        <a:xfrm xmlns:a="http://schemas.openxmlformats.org/drawingml/2006/main">
          <a:off x="107172" y="2830698"/>
          <a:ext cx="822223" cy="6799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Electric Vehicle Conversion</a:t>
          </a:r>
        </a:p>
      </cdr:txBody>
    </cdr:sp>
  </cdr:relSizeAnchor>
  <cdr:relSizeAnchor xmlns:cdr="http://schemas.openxmlformats.org/drawingml/2006/chartDrawing">
    <cdr:from>
      <cdr:x>0.11273</cdr:x>
      <cdr:y>0.47879</cdr:y>
    </cdr:from>
    <cdr:to>
      <cdr:x>0.17184</cdr:x>
      <cdr:y>0.52803</cdr:y>
    </cdr:to>
    <cdr:sp macro="" textlink="'Pathways Model'!$H$3">
      <cdr:nvSpPr>
        <cdr:cNvPr id="14" name="TextBox 13"/>
        <cdr:cNvSpPr txBox="1"/>
      </cdr:nvSpPr>
      <cdr:spPr>
        <a:xfrm xmlns:a="http://schemas.openxmlformats.org/drawingml/2006/main">
          <a:off x="975582" y="3003398"/>
          <a:ext cx="511546" cy="3088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00AA89-035A-4A12-A0BE-F2745A50F975}" type="TxLink">
            <a:rPr lang="en-US" sz="1100" b="1" i="0" u="none" strike="noStrike">
              <a:solidFill>
                <a:sysClr val="windowText" lastClr="000000"/>
              </a:solidFill>
              <a:latin typeface="Calibri"/>
              <a:cs typeface="Calibri"/>
            </a:rPr>
            <a:pPr/>
            <a:t>50%</a:t>
          </a:fld>
          <a:endParaRPr lang="en-US" sz="1100">
            <a:solidFill>
              <a:sysClr val="windowText" lastClr="000000"/>
            </a:solidFill>
          </a:endParaRPr>
        </a:p>
      </cdr:txBody>
    </cdr:sp>
  </cdr:relSizeAnchor>
  <cdr:relSizeAnchor xmlns:cdr="http://schemas.openxmlformats.org/drawingml/2006/chartDrawing">
    <cdr:from>
      <cdr:x>0.01374</cdr:x>
      <cdr:y>0.55132</cdr:y>
    </cdr:from>
    <cdr:to>
      <cdr:x>0.1141</cdr:x>
      <cdr:y>0.64981</cdr:y>
    </cdr:to>
    <cdr:sp macro="" textlink="">
      <cdr:nvSpPr>
        <cdr:cNvPr id="15" name="TextBox 14"/>
        <cdr:cNvSpPr txBox="1"/>
      </cdr:nvSpPr>
      <cdr:spPr>
        <a:xfrm xmlns:a="http://schemas.openxmlformats.org/drawingml/2006/main">
          <a:off x="119134" y="3472442"/>
          <a:ext cx="869895" cy="6203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Renewable Electricity</a:t>
          </a:r>
          <a:r>
            <a:rPr lang="en-US" sz="1100" baseline="0"/>
            <a:t> Content</a:t>
          </a:r>
          <a:endParaRPr lang="en-US" sz="1100"/>
        </a:p>
      </cdr:txBody>
    </cdr:sp>
  </cdr:relSizeAnchor>
  <cdr:relSizeAnchor xmlns:cdr="http://schemas.openxmlformats.org/drawingml/2006/chartDrawing">
    <cdr:from>
      <cdr:x>0.11273</cdr:x>
      <cdr:y>0.575</cdr:y>
    </cdr:from>
    <cdr:to>
      <cdr:x>0.17322</cdr:x>
      <cdr:y>0.62614</cdr:y>
    </cdr:to>
    <cdr:sp macro="" textlink="'Pathways Model'!$AK$6">
      <cdr:nvSpPr>
        <cdr:cNvPr id="16" name="TextBox 15"/>
        <cdr:cNvSpPr txBox="1"/>
      </cdr:nvSpPr>
      <cdr:spPr>
        <a:xfrm xmlns:a="http://schemas.openxmlformats.org/drawingml/2006/main">
          <a:off x="975582" y="3606913"/>
          <a:ext cx="523489" cy="3207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C8D6BE7-DEC2-4333-A6EF-527E6A1407C6}" type="TxLink">
            <a:rPr lang="en-US" sz="1100" b="1" i="0" u="none" strike="noStrike">
              <a:solidFill>
                <a:sysClr val="windowText" lastClr="000000"/>
              </a:solidFill>
              <a:latin typeface="Calibri"/>
              <a:cs typeface="Calibri"/>
            </a:rPr>
            <a:pPr/>
            <a:t> </a:t>
          </a:fld>
          <a:endParaRPr lang="en-US" sz="1100">
            <a:solidFill>
              <a:sysClr val="windowText" lastClr="000000"/>
            </a:solidFill>
          </a:endParaRPr>
        </a:p>
      </cdr:txBody>
    </cdr:sp>
  </cdr:relSizeAnchor>
  <cdr:relSizeAnchor xmlns:cdr="http://schemas.openxmlformats.org/drawingml/2006/chartDrawing">
    <cdr:from>
      <cdr:x>0.01512</cdr:x>
      <cdr:y>0.05208</cdr:y>
    </cdr:from>
    <cdr:to>
      <cdr:x>0.11273</cdr:x>
      <cdr:y>0.13163</cdr:y>
    </cdr:to>
    <cdr:sp macro="" textlink="">
      <cdr:nvSpPr>
        <cdr:cNvPr id="17" name="TextBox 16"/>
        <cdr:cNvSpPr txBox="1"/>
      </cdr:nvSpPr>
      <cdr:spPr>
        <a:xfrm xmlns:a="http://schemas.openxmlformats.org/drawingml/2006/main">
          <a:off x="130970" y="327422"/>
          <a:ext cx="845344" cy="5000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u="sng"/>
            <a:t>Pathways Index</a:t>
          </a:r>
        </a:p>
      </cdr:txBody>
    </cdr:sp>
  </cdr:relSizeAnchor>
  <cdr:relSizeAnchor xmlns:cdr="http://schemas.openxmlformats.org/drawingml/2006/chartDrawing">
    <cdr:from>
      <cdr:x>0.11273</cdr:x>
      <cdr:y>0.05492</cdr:y>
    </cdr:from>
    <cdr:to>
      <cdr:x>0.18285</cdr:x>
      <cdr:y>0.12879</cdr:y>
    </cdr:to>
    <cdr:sp macro="" textlink="">
      <cdr:nvSpPr>
        <cdr:cNvPr id="18" name="TextBox 17"/>
        <cdr:cNvSpPr txBox="1"/>
      </cdr:nvSpPr>
      <cdr:spPr>
        <a:xfrm xmlns:a="http://schemas.openxmlformats.org/drawingml/2006/main">
          <a:off x="975582" y="344507"/>
          <a:ext cx="606828" cy="4633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u="sng">
              <a:solidFill>
                <a:sysClr val="windowText" lastClr="000000"/>
              </a:solidFill>
            </a:rPr>
            <a:t>2030</a:t>
          </a:r>
        </a:p>
        <a:p xmlns:a="http://schemas.openxmlformats.org/drawingml/2006/main">
          <a:r>
            <a:rPr lang="en-US" sz="1100" u="sng">
              <a:solidFill>
                <a:sysClr val="windowText" lastClr="000000"/>
              </a:solidFill>
            </a:rPr>
            <a:t>Status</a:t>
          </a:r>
        </a:p>
      </cdr:txBody>
    </cdr:sp>
  </cdr:relSizeAnchor>
  <cdr:relSizeAnchor xmlns:cdr="http://schemas.openxmlformats.org/drawingml/2006/chartDrawing">
    <cdr:from>
      <cdr:x>0.01511</cdr:x>
      <cdr:y>0.36951</cdr:y>
    </cdr:from>
    <cdr:to>
      <cdr:x>0.10447</cdr:x>
      <cdr:y>0.45663</cdr:y>
    </cdr:to>
    <cdr:sp macro="" textlink="">
      <cdr:nvSpPr>
        <cdr:cNvPr id="19" name="TextBox 18"/>
        <cdr:cNvSpPr txBox="1"/>
      </cdr:nvSpPr>
      <cdr:spPr>
        <a:xfrm xmlns:a="http://schemas.openxmlformats.org/drawingml/2006/main">
          <a:off x="131009" y="2327329"/>
          <a:ext cx="774550" cy="5487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VMT Reduction</a:t>
          </a:r>
        </a:p>
      </cdr:txBody>
    </cdr:sp>
  </cdr:relSizeAnchor>
  <cdr:relSizeAnchor xmlns:cdr="http://schemas.openxmlformats.org/drawingml/2006/chartDrawing">
    <cdr:from>
      <cdr:x>0.11273</cdr:x>
      <cdr:y>0.38655</cdr:y>
    </cdr:from>
    <cdr:to>
      <cdr:x>0.17047</cdr:x>
      <cdr:y>0.4339</cdr:y>
    </cdr:to>
    <cdr:sp macro="" textlink="'Pathways Model'!$C$3">
      <cdr:nvSpPr>
        <cdr:cNvPr id="20" name="TextBox 19"/>
        <cdr:cNvSpPr txBox="1"/>
      </cdr:nvSpPr>
      <cdr:spPr>
        <a:xfrm xmlns:a="http://schemas.openxmlformats.org/drawingml/2006/main">
          <a:off x="975582" y="2424787"/>
          <a:ext cx="499690" cy="2970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DC9A9B7-5CD9-461E-8007-104282A90567}" type="TxLink">
            <a:rPr lang="en-US" sz="1100" b="1" i="0" u="none" strike="noStrike">
              <a:solidFill>
                <a:sysClr val="windowText" lastClr="000000"/>
              </a:solidFill>
              <a:latin typeface="Calibri"/>
              <a:cs typeface="Calibri"/>
            </a:rPr>
            <a:pPr/>
            <a:t>20%</a:t>
          </a:fld>
          <a:endParaRPr lang="en-US" sz="1100">
            <a:solidFill>
              <a:sysClr val="windowText" lastClr="000000"/>
            </a:solidFill>
          </a:endParaRPr>
        </a:p>
      </cdr:txBody>
    </cdr:sp>
  </cdr:relSizeAnchor>
  <cdr:relSizeAnchor xmlns:cdr="http://schemas.openxmlformats.org/drawingml/2006/chartDrawing">
    <cdr:from>
      <cdr:x>0.21841</cdr:x>
      <cdr:y>0.07486</cdr:y>
    </cdr:from>
    <cdr:to>
      <cdr:x>0.29808</cdr:x>
      <cdr:y>0.12401</cdr:y>
    </cdr:to>
    <cdr:sp macro="" textlink="">
      <cdr:nvSpPr>
        <cdr:cNvPr id="4" name="TextBox 3"/>
        <cdr:cNvSpPr txBox="1"/>
      </cdr:nvSpPr>
      <cdr:spPr>
        <a:xfrm xmlns:a="http://schemas.openxmlformats.org/drawingml/2006/main">
          <a:off x="1893094" y="471488"/>
          <a:ext cx="690562" cy="3095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a:t>Totals</a:t>
          </a:r>
          <a:r>
            <a:rPr lang="en-US" sz="1100"/>
            <a:t>:</a:t>
          </a:r>
        </a:p>
      </cdr:txBody>
    </cdr:sp>
  </cdr:relSizeAnchor>
  <cdr:relSizeAnchor xmlns:cdr="http://schemas.openxmlformats.org/drawingml/2006/chartDrawing">
    <cdr:from>
      <cdr:x>0.31731</cdr:x>
      <cdr:y>0.08129</cdr:y>
    </cdr:from>
    <cdr:to>
      <cdr:x>0.4217</cdr:x>
      <cdr:y>0.11909</cdr:y>
    </cdr:to>
    <cdr:sp macro="" textlink="">
      <cdr:nvSpPr>
        <cdr:cNvPr id="21" name="TextBox 20"/>
        <cdr:cNvSpPr txBox="1"/>
      </cdr:nvSpPr>
      <cdr:spPr>
        <a:xfrm xmlns:a="http://schemas.openxmlformats.org/drawingml/2006/main">
          <a:off x="2750344" y="511969"/>
          <a:ext cx="9048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0.34038</cdr:x>
      <cdr:y>0.07486</cdr:y>
    </cdr:from>
    <cdr:to>
      <cdr:x>0.4</cdr:x>
      <cdr:y>0.12401</cdr:y>
    </cdr:to>
    <cdr:sp macro="" textlink="'Pathway Emissions Summary Table'!$B$16">
      <cdr:nvSpPr>
        <cdr:cNvPr id="23" name="TextBox 1"/>
        <cdr:cNvSpPr txBox="1"/>
      </cdr:nvSpPr>
      <cdr:spPr>
        <a:xfrm xmlns:a="http://schemas.openxmlformats.org/drawingml/2006/main">
          <a:off x="2950369" y="471488"/>
          <a:ext cx="516731" cy="3095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4191401-B823-4A05-9542-B9B81FF997BB}" type="TxLink">
            <a:rPr lang="en-US" sz="1600" b="0" i="0" u="none" strike="noStrike">
              <a:solidFill>
                <a:srgbClr val="000000"/>
              </a:solidFill>
              <a:latin typeface="Calibri"/>
              <a:cs typeface="Calibri"/>
            </a:rPr>
            <a:pPr/>
            <a:t>424</a:t>
          </a:fld>
          <a:endParaRPr lang="en-US" sz="1600"/>
        </a:p>
      </cdr:txBody>
    </cdr:sp>
  </cdr:relSizeAnchor>
  <cdr:relSizeAnchor xmlns:cdr="http://schemas.openxmlformats.org/drawingml/2006/chartDrawing">
    <cdr:from>
      <cdr:x>0.73901</cdr:x>
      <cdr:y>0.07486</cdr:y>
    </cdr:from>
    <cdr:to>
      <cdr:x>0.81868</cdr:x>
      <cdr:y>0.12401</cdr:y>
    </cdr:to>
    <cdr:sp macro="" textlink="'Pathway Emissions Summary Table'!$C$16">
      <cdr:nvSpPr>
        <cdr:cNvPr id="24" name="TextBox 1"/>
        <cdr:cNvSpPr txBox="1"/>
      </cdr:nvSpPr>
      <cdr:spPr>
        <a:xfrm xmlns:a="http://schemas.openxmlformats.org/drawingml/2006/main">
          <a:off x="6405562" y="471488"/>
          <a:ext cx="690562" cy="3095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13C0472-6B30-4B2A-A9A0-828649001677}" type="TxLink">
            <a:rPr lang="en-US" sz="1600" b="0" i="0" u="none" strike="noStrike">
              <a:solidFill>
                <a:srgbClr val="000000"/>
              </a:solidFill>
              <a:latin typeface="Calibri"/>
              <a:cs typeface="Calibri"/>
            </a:rPr>
            <a:pPr/>
            <a:t>258</a:t>
          </a:fld>
          <a:endParaRPr lang="en-US" sz="1600"/>
        </a:p>
      </cdr:txBody>
    </cdr:sp>
  </cdr:relSizeAnchor>
  <cdr:relSizeAnchor xmlns:cdr="http://schemas.openxmlformats.org/drawingml/2006/chartDrawing">
    <cdr:from>
      <cdr:x>0.11164</cdr:x>
      <cdr:y>0.57701</cdr:y>
    </cdr:from>
    <cdr:to>
      <cdr:x>0.16509</cdr:x>
      <cdr:y>0.6269</cdr:y>
    </cdr:to>
    <cdr:sp macro="" textlink="'Pathways Model'!$AK$4">
      <cdr:nvSpPr>
        <cdr:cNvPr id="9" name="TextBox 8">
          <a:extLst xmlns:a="http://schemas.openxmlformats.org/drawingml/2006/main">
            <a:ext uri="{FF2B5EF4-FFF2-40B4-BE49-F238E27FC236}">
              <a16:creationId xmlns:a16="http://schemas.microsoft.com/office/drawing/2014/main" id="{A387E32A-CF1F-4713-BC2A-FEB9F7244D88}"/>
            </a:ext>
          </a:extLst>
        </cdr:cNvPr>
        <cdr:cNvSpPr txBox="1"/>
      </cdr:nvSpPr>
      <cdr:spPr>
        <a:xfrm xmlns:a="http://schemas.openxmlformats.org/drawingml/2006/main">
          <a:off x="966106" y="3619499"/>
          <a:ext cx="462643" cy="3129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04E2D9D-6436-498F-80A8-2B7E949A05EC}" type="TxLink">
            <a:rPr lang="en-US" sz="1100" b="1" i="0" u="none" strike="noStrike">
              <a:solidFill>
                <a:sysClr val="windowText" lastClr="000000"/>
              </a:solidFill>
              <a:latin typeface="Calibri"/>
              <a:cs typeface="Calibri"/>
            </a:rPr>
            <a:pPr/>
            <a:t>70%</a:t>
          </a:fld>
          <a:endParaRPr lang="en-US" sz="1100">
            <a:solidFill>
              <a:sysClr val="windowText" lastClr="000000"/>
            </a:solidFill>
          </a:endParaRPr>
        </a:p>
      </cdr:txBody>
    </cdr:sp>
  </cdr:relSizeAnchor>
  <cdr:relSizeAnchor xmlns:cdr="http://schemas.openxmlformats.org/drawingml/2006/chartDrawing">
    <cdr:from>
      <cdr:x>1.15552E-7</cdr:x>
      <cdr:y>0.65669</cdr:y>
    </cdr:from>
    <cdr:to>
      <cdr:x>0.10692</cdr:x>
      <cdr:y>0.78308</cdr:y>
    </cdr:to>
    <cdr:sp macro="" textlink="">
      <cdr:nvSpPr>
        <cdr:cNvPr id="25" name="TextBox 1">
          <a:extLst xmlns:a="http://schemas.openxmlformats.org/drawingml/2006/main">
            <a:ext uri="{FF2B5EF4-FFF2-40B4-BE49-F238E27FC236}">
              <a16:creationId xmlns:a16="http://schemas.microsoft.com/office/drawing/2014/main" id="{34FB6EC0-ECCF-46A2-A989-2452EDDEF8DB}"/>
            </a:ext>
          </a:extLst>
        </cdr:cNvPr>
        <cdr:cNvSpPr txBox="1"/>
      </cdr:nvSpPr>
      <cdr:spPr>
        <a:xfrm xmlns:a="http://schemas.openxmlformats.org/drawingml/2006/main">
          <a:off x="1" y="4119336"/>
          <a:ext cx="925286" cy="7928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200"/>
            <a:t>% of</a:t>
          </a:r>
          <a:r>
            <a:rPr lang="en-US" sz="1200" baseline="0"/>
            <a:t> Statutory Energy Efficiency</a:t>
          </a:r>
          <a:endParaRPr lang="en-US" sz="1200"/>
        </a:p>
      </cdr:txBody>
    </cdr:sp>
  </cdr:relSizeAnchor>
  <cdr:relSizeAnchor xmlns:cdr="http://schemas.openxmlformats.org/drawingml/2006/chartDrawing">
    <cdr:from>
      <cdr:x>0</cdr:x>
      <cdr:y>0.79769</cdr:y>
    </cdr:from>
    <cdr:to>
      <cdr:x>0.10849</cdr:x>
      <cdr:y>0.90889</cdr:y>
    </cdr:to>
    <cdr:sp macro="" textlink="">
      <cdr:nvSpPr>
        <cdr:cNvPr id="26" name="TextBox 1">
          <a:extLst xmlns:a="http://schemas.openxmlformats.org/drawingml/2006/main">
            <a:ext uri="{FF2B5EF4-FFF2-40B4-BE49-F238E27FC236}">
              <a16:creationId xmlns:a16="http://schemas.microsoft.com/office/drawing/2014/main" id="{F9E80E19-90BB-4A14-9804-0198FFDB5B08}"/>
            </a:ext>
          </a:extLst>
        </cdr:cNvPr>
        <cdr:cNvSpPr txBox="1"/>
      </cdr:nvSpPr>
      <cdr:spPr>
        <a:xfrm xmlns:a="http://schemas.openxmlformats.org/drawingml/2006/main">
          <a:off x="0" y="5003801"/>
          <a:ext cx="938892" cy="6975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200" baseline="0">
              <a:latin typeface="+mn-lt"/>
              <a:ea typeface="+mn-ea"/>
              <a:cs typeface="+mn-cs"/>
            </a:rPr>
            <a:t>% of IEPR High Case PV Capacity</a:t>
          </a:r>
        </a:p>
      </cdr:txBody>
    </cdr:sp>
  </cdr:relSizeAnchor>
  <cdr:relSizeAnchor xmlns:cdr="http://schemas.openxmlformats.org/drawingml/2006/chartDrawing">
    <cdr:from>
      <cdr:x>0.10493</cdr:x>
      <cdr:y>0.70441</cdr:y>
    </cdr:from>
    <cdr:to>
      <cdr:x>0.16352</cdr:x>
      <cdr:y>0.75756</cdr:y>
    </cdr:to>
    <cdr:sp macro="" textlink="'Pathways Model'!$AF$4">
      <cdr:nvSpPr>
        <cdr:cNvPr id="27" name="TextBox 1">
          <a:extLst xmlns:a="http://schemas.openxmlformats.org/drawingml/2006/main">
            <a:ext uri="{FF2B5EF4-FFF2-40B4-BE49-F238E27FC236}">
              <a16:creationId xmlns:a16="http://schemas.microsoft.com/office/drawing/2014/main" id="{4E915C94-67FF-45B7-8763-5EA911CB04FB}"/>
            </a:ext>
          </a:extLst>
        </cdr:cNvPr>
        <cdr:cNvSpPr txBox="1"/>
      </cdr:nvSpPr>
      <cdr:spPr>
        <a:xfrm xmlns:a="http://schemas.openxmlformats.org/drawingml/2006/main">
          <a:off x="908050" y="4418693"/>
          <a:ext cx="507093" cy="333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fld id="{1565AE2A-5502-4A76-954D-63F0B585183E}" type="TxLink">
            <a:rPr lang="en-US" sz="1100" b="1" i="0" u="none" strike="noStrike">
              <a:solidFill>
                <a:sysClr val="windowText" lastClr="000000"/>
              </a:solidFill>
              <a:latin typeface="Calibri"/>
              <a:ea typeface="+mn-ea"/>
              <a:cs typeface="Calibri"/>
            </a:rPr>
            <a:pPr marL="0" indent="0"/>
            <a:t>150%</a:t>
          </a:fld>
          <a:endParaRPr lang="en-US" sz="1100" b="1" i="0" u="none" strike="noStrike">
            <a:solidFill>
              <a:sysClr val="windowText" lastClr="000000"/>
            </a:solidFill>
            <a:latin typeface="Calibri"/>
            <a:ea typeface="+mn-ea"/>
            <a:cs typeface="Calibri"/>
          </a:endParaRPr>
        </a:p>
      </cdr:txBody>
    </cdr:sp>
  </cdr:relSizeAnchor>
  <cdr:relSizeAnchor xmlns:cdr="http://schemas.openxmlformats.org/drawingml/2006/chartDrawing">
    <cdr:from>
      <cdr:x>0.1065</cdr:x>
      <cdr:y>0.82372</cdr:y>
    </cdr:from>
    <cdr:to>
      <cdr:x>0.16509</cdr:x>
      <cdr:y>0.86768</cdr:y>
    </cdr:to>
    <cdr:sp macro="" textlink="'Pathways Model'!$AF$6">
      <cdr:nvSpPr>
        <cdr:cNvPr id="28" name="TextBox 1">
          <a:extLst xmlns:a="http://schemas.openxmlformats.org/drawingml/2006/main">
            <a:ext uri="{FF2B5EF4-FFF2-40B4-BE49-F238E27FC236}">
              <a16:creationId xmlns:a16="http://schemas.microsoft.com/office/drawing/2014/main" id="{0BC36649-E3ED-4F63-9E71-6802AE96AEEE}"/>
            </a:ext>
          </a:extLst>
        </cdr:cNvPr>
        <cdr:cNvSpPr txBox="1"/>
      </cdr:nvSpPr>
      <cdr:spPr>
        <a:xfrm xmlns:a="http://schemas.openxmlformats.org/drawingml/2006/main">
          <a:off x="921657" y="5167086"/>
          <a:ext cx="507093" cy="2757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fld id="{D7C7D89A-F4E6-4ED2-8E2A-FA3983989067}" type="TxLink">
            <a:rPr lang="en-US" sz="1100" b="1" i="0" u="none" strike="noStrike">
              <a:solidFill>
                <a:sysClr val="windowText" lastClr="000000"/>
              </a:solidFill>
              <a:latin typeface="Calibri"/>
              <a:ea typeface="+mn-ea"/>
              <a:cs typeface="Calibri"/>
            </a:rPr>
            <a:pPr marL="0" indent="0"/>
            <a:t>150%</a:t>
          </a:fld>
          <a:endParaRPr lang="en-US" sz="1100" b="1" i="0" u="none" strike="noStrike">
            <a:solidFill>
              <a:sysClr val="windowText" lastClr="000000"/>
            </a:solidFill>
            <a:latin typeface="Calibri"/>
            <a:ea typeface="+mn-ea"/>
            <a:cs typeface="Calibri"/>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0.01758</cdr:x>
      <cdr:y>0.13119</cdr:y>
    </cdr:from>
    <cdr:to>
      <cdr:x>0.13719</cdr:x>
      <cdr:y>0.20302</cdr:y>
    </cdr:to>
    <cdr:sp macro="" textlink="">
      <cdr:nvSpPr>
        <cdr:cNvPr id="2" name="TextBox 1"/>
        <cdr:cNvSpPr txBox="1"/>
      </cdr:nvSpPr>
      <cdr:spPr>
        <a:xfrm xmlns:a="http://schemas.openxmlformats.org/drawingml/2006/main">
          <a:off x="152400" y="826294"/>
          <a:ext cx="1036749" cy="4524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Rangeland Compost </a:t>
          </a:r>
        </a:p>
      </cdr:txBody>
    </cdr:sp>
  </cdr:relSizeAnchor>
  <cdr:relSizeAnchor xmlns:cdr="http://schemas.openxmlformats.org/drawingml/2006/chartDrawing">
    <cdr:from>
      <cdr:x>0.1911</cdr:x>
      <cdr:y>0.14773</cdr:y>
    </cdr:from>
    <cdr:to>
      <cdr:x>0.23784</cdr:x>
      <cdr:y>0.18182</cdr:y>
    </cdr:to>
    <cdr:sp macro="" textlink="">
      <cdr:nvSpPr>
        <cdr:cNvPr id="3" name="TextBox 2"/>
        <cdr:cNvSpPr txBox="1"/>
      </cdr:nvSpPr>
      <cdr:spPr>
        <a:xfrm xmlns:a="http://schemas.openxmlformats.org/drawingml/2006/main">
          <a:off x="1654969" y="928688"/>
          <a:ext cx="404812"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0.11273</cdr:x>
      <cdr:y>0.14773</cdr:y>
    </cdr:from>
    <cdr:to>
      <cdr:x>0.1636</cdr:x>
      <cdr:y>0.17803</cdr:y>
    </cdr:to>
    <cdr:sp macro="" textlink="">
      <cdr:nvSpPr>
        <cdr:cNvPr id="5" name="TextBox 4"/>
        <cdr:cNvSpPr txBox="1"/>
      </cdr:nvSpPr>
      <cdr:spPr>
        <a:xfrm xmlns:a="http://schemas.openxmlformats.org/drawingml/2006/main">
          <a:off x="975582" y="926694"/>
          <a:ext cx="440236" cy="1900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solidFill>
              <a:sysClr val="windowText" lastClr="000000"/>
            </a:solidFill>
          </a:endParaRPr>
        </a:p>
      </cdr:txBody>
    </cdr:sp>
  </cdr:relSizeAnchor>
  <cdr:relSizeAnchor xmlns:cdr="http://schemas.openxmlformats.org/drawingml/2006/chartDrawing">
    <cdr:from>
      <cdr:x>0.11273</cdr:x>
      <cdr:y>0.14299</cdr:y>
    </cdr:from>
    <cdr:to>
      <cdr:x>0.17449</cdr:x>
      <cdr:y>0.18277</cdr:y>
    </cdr:to>
    <cdr:sp macro="" textlink="'Pathways Model'!$BA$3">
      <cdr:nvSpPr>
        <cdr:cNvPr id="6" name="TextBox 5"/>
        <cdr:cNvSpPr txBox="1"/>
      </cdr:nvSpPr>
      <cdr:spPr>
        <a:xfrm xmlns:a="http://schemas.openxmlformats.org/drawingml/2006/main">
          <a:off x="975582" y="896961"/>
          <a:ext cx="534480" cy="2495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7E48535-D205-4DA3-B2D6-ABA293210753}" type="TxLink">
            <a:rPr lang="en-US" sz="1100" b="1" i="0" u="none" strike="noStrike">
              <a:solidFill>
                <a:sysClr val="windowText" lastClr="000000"/>
              </a:solidFill>
              <a:latin typeface="Calibri"/>
              <a:cs typeface="Calibri"/>
            </a:rPr>
            <a:pPr/>
            <a:t> 352 </a:t>
          </a:fld>
          <a:endParaRPr lang="en-US" sz="1100">
            <a:solidFill>
              <a:sysClr val="windowText" lastClr="000000"/>
            </a:solidFill>
          </a:endParaRPr>
        </a:p>
      </cdr:txBody>
    </cdr:sp>
  </cdr:relSizeAnchor>
  <cdr:relSizeAnchor xmlns:cdr="http://schemas.openxmlformats.org/drawingml/2006/chartDrawing">
    <cdr:from>
      <cdr:x>0.01758</cdr:x>
      <cdr:y>0.20527</cdr:y>
    </cdr:from>
    <cdr:to>
      <cdr:x>0.11794</cdr:x>
      <cdr:y>0.28481</cdr:y>
    </cdr:to>
    <cdr:sp macro="" textlink="">
      <cdr:nvSpPr>
        <cdr:cNvPr id="7" name="TextBox 6"/>
        <cdr:cNvSpPr txBox="1"/>
      </cdr:nvSpPr>
      <cdr:spPr>
        <a:xfrm xmlns:a="http://schemas.openxmlformats.org/drawingml/2006/main">
          <a:off x="152400" y="1292897"/>
          <a:ext cx="869895" cy="50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Pasture Compost</a:t>
          </a:r>
        </a:p>
      </cdr:txBody>
    </cdr:sp>
  </cdr:relSizeAnchor>
  <cdr:relSizeAnchor xmlns:cdr="http://schemas.openxmlformats.org/drawingml/2006/chartDrawing">
    <cdr:from>
      <cdr:x>0.11273</cdr:x>
      <cdr:y>0.21458</cdr:y>
    </cdr:from>
    <cdr:to>
      <cdr:x>0.17449</cdr:x>
      <cdr:y>0.25898</cdr:y>
    </cdr:to>
    <cdr:sp macro="" textlink="'Pathways Model'!$BA$4">
      <cdr:nvSpPr>
        <cdr:cNvPr id="8" name="TextBox 7"/>
        <cdr:cNvSpPr txBox="1"/>
      </cdr:nvSpPr>
      <cdr:spPr>
        <a:xfrm xmlns:a="http://schemas.openxmlformats.org/drawingml/2006/main">
          <a:off x="975582" y="1346037"/>
          <a:ext cx="534480" cy="278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D24F139-4F11-4A28-848B-B0D42DB6B7DA}" type="TxLink">
            <a:rPr lang="en-US" sz="1100" b="1" i="0" u="none" strike="noStrike">
              <a:solidFill>
                <a:sysClr val="windowText" lastClr="000000"/>
              </a:solidFill>
              <a:latin typeface="Calibri"/>
              <a:cs typeface="Calibri"/>
            </a:rPr>
            <a:pPr/>
            <a:t> 770 </a:t>
          </a:fld>
          <a:endParaRPr lang="en-US" sz="1100">
            <a:solidFill>
              <a:sysClr val="windowText" lastClr="000000"/>
            </a:solidFill>
          </a:endParaRPr>
        </a:p>
      </cdr:txBody>
    </cdr:sp>
  </cdr:relSizeAnchor>
  <cdr:relSizeAnchor xmlns:cdr="http://schemas.openxmlformats.org/drawingml/2006/chartDrawing">
    <cdr:from>
      <cdr:x>0.01758</cdr:x>
      <cdr:y>0.28586</cdr:y>
    </cdr:from>
    <cdr:to>
      <cdr:x>0.12481</cdr:x>
      <cdr:y>0.35783</cdr:y>
    </cdr:to>
    <cdr:sp macro="" textlink="">
      <cdr:nvSpPr>
        <cdr:cNvPr id="11" name="TextBox 10"/>
        <cdr:cNvSpPr txBox="1"/>
      </cdr:nvSpPr>
      <cdr:spPr>
        <a:xfrm xmlns:a="http://schemas.openxmlformats.org/drawingml/2006/main">
          <a:off x="152400" y="1800471"/>
          <a:ext cx="929442" cy="453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Cropland</a:t>
          </a:r>
        </a:p>
        <a:p xmlns:a="http://schemas.openxmlformats.org/drawingml/2006/main">
          <a:r>
            <a:rPr lang="en-US" sz="1100"/>
            <a:t>Compost</a:t>
          </a:r>
        </a:p>
      </cdr:txBody>
    </cdr:sp>
  </cdr:relSizeAnchor>
  <cdr:relSizeAnchor xmlns:cdr="http://schemas.openxmlformats.org/drawingml/2006/chartDrawing">
    <cdr:from>
      <cdr:x>0.11273</cdr:x>
      <cdr:y>0.29628</cdr:y>
    </cdr:from>
    <cdr:to>
      <cdr:x>0.17999</cdr:x>
      <cdr:y>0.34742</cdr:y>
    </cdr:to>
    <cdr:sp macro="" textlink="'Pathways Model'!$BA$5">
      <cdr:nvSpPr>
        <cdr:cNvPr id="12" name="TextBox 11"/>
        <cdr:cNvSpPr txBox="1"/>
      </cdr:nvSpPr>
      <cdr:spPr>
        <a:xfrm xmlns:a="http://schemas.openxmlformats.org/drawingml/2006/main">
          <a:off x="975582" y="1858533"/>
          <a:ext cx="582077" cy="3207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2BDEB48-3A91-44AB-966B-EDE195379CEE}" type="TxLink">
            <a:rPr lang="en-US" sz="1100" b="1" i="0" u="none" strike="noStrike">
              <a:solidFill>
                <a:sysClr val="windowText" lastClr="000000"/>
              </a:solidFill>
              <a:latin typeface="Calibri"/>
              <a:cs typeface="Calibri"/>
            </a:rPr>
            <a:pPr/>
            <a:t> 800 </a:t>
          </a:fld>
          <a:endParaRPr lang="en-US" sz="1100">
            <a:solidFill>
              <a:sysClr val="windowText" lastClr="000000"/>
            </a:solidFill>
          </a:endParaRPr>
        </a:p>
      </cdr:txBody>
    </cdr:sp>
  </cdr:relSizeAnchor>
  <cdr:relSizeAnchor xmlns:cdr="http://schemas.openxmlformats.org/drawingml/2006/chartDrawing">
    <cdr:from>
      <cdr:x>0.01758</cdr:x>
      <cdr:y>0.45065</cdr:y>
    </cdr:from>
    <cdr:to>
      <cdr:x>0.11931</cdr:x>
      <cdr:y>0.53241</cdr:y>
    </cdr:to>
    <cdr:sp macro="" textlink="">
      <cdr:nvSpPr>
        <cdr:cNvPr id="13" name="TextBox 12"/>
        <cdr:cNvSpPr txBox="1"/>
      </cdr:nvSpPr>
      <cdr:spPr>
        <a:xfrm xmlns:a="http://schemas.openxmlformats.org/drawingml/2006/main">
          <a:off x="152400" y="2838383"/>
          <a:ext cx="881731" cy="5149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Riparian</a:t>
          </a:r>
        </a:p>
        <a:p xmlns:a="http://schemas.openxmlformats.org/drawingml/2006/main">
          <a:r>
            <a:rPr lang="en-US" sz="1100"/>
            <a:t>Restoration</a:t>
          </a:r>
        </a:p>
      </cdr:txBody>
    </cdr:sp>
  </cdr:relSizeAnchor>
  <cdr:relSizeAnchor xmlns:cdr="http://schemas.openxmlformats.org/drawingml/2006/chartDrawing">
    <cdr:from>
      <cdr:x>0.11273</cdr:x>
      <cdr:y>0.47879</cdr:y>
    </cdr:from>
    <cdr:to>
      <cdr:x>0.1701</cdr:x>
      <cdr:y>0.52803</cdr:y>
    </cdr:to>
    <cdr:sp macro="" textlink="'Pathways Model'!$BA$7">
      <cdr:nvSpPr>
        <cdr:cNvPr id="14" name="TextBox 13"/>
        <cdr:cNvSpPr txBox="1"/>
      </cdr:nvSpPr>
      <cdr:spPr>
        <a:xfrm xmlns:a="http://schemas.openxmlformats.org/drawingml/2006/main">
          <a:off x="975582" y="3003398"/>
          <a:ext cx="496488" cy="3088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807C91E-08BB-4525-B466-A8AE79DDE368}" type="TxLink">
            <a:rPr lang="en-US" sz="1100" b="1" i="0" u="none" strike="noStrike">
              <a:solidFill>
                <a:sysClr val="windowText" lastClr="000000"/>
              </a:solidFill>
              <a:latin typeface="Calibri"/>
              <a:cs typeface="Calibri"/>
            </a:rPr>
            <a:pPr/>
            <a:t> 80 </a:t>
          </a:fld>
          <a:endParaRPr lang="en-US" sz="1100">
            <a:solidFill>
              <a:sysClr val="windowText" lastClr="000000"/>
            </a:solidFill>
          </a:endParaRPr>
        </a:p>
      </cdr:txBody>
    </cdr:sp>
  </cdr:relSizeAnchor>
  <cdr:relSizeAnchor xmlns:cdr="http://schemas.openxmlformats.org/drawingml/2006/chartDrawing">
    <cdr:from>
      <cdr:x>0.01758</cdr:x>
      <cdr:y>0.53466</cdr:y>
    </cdr:from>
    <cdr:to>
      <cdr:x>0.11794</cdr:x>
      <cdr:y>0.61399</cdr:y>
    </cdr:to>
    <cdr:sp macro="" textlink="">
      <cdr:nvSpPr>
        <cdr:cNvPr id="15" name="TextBox 14"/>
        <cdr:cNvSpPr txBox="1"/>
      </cdr:nvSpPr>
      <cdr:spPr>
        <a:xfrm xmlns:a="http://schemas.openxmlformats.org/drawingml/2006/main">
          <a:off x="152400" y="3367512"/>
          <a:ext cx="869895" cy="4996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Prescribed</a:t>
          </a:r>
        </a:p>
        <a:p xmlns:a="http://schemas.openxmlformats.org/drawingml/2006/main">
          <a:r>
            <a:rPr lang="en-US" sz="1100"/>
            <a:t>Grazing</a:t>
          </a:r>
        </a:p>
      </cdr:txBody>
    </cdr:sp>
  </cdr:relSizeAnchor>
  <cdr:relSizeAnchor xmlns:cdr="http://schemas.openxmlformats.org/drawingml/2006/chartDrawing">
    <cdr:from>
      <cdr:x>0.11273</cdr:x>
      <cdr:y>0.54173</cdr:y>
    </cdr:from>
    <cdr:to>
      <cdr:x>0.169</cdr:x>
      <cdr:y>0.59287</cdr:y>
    </cdr:to>
    <cdr:sp macro="" textlink="'Pathways Model'!$BF$3">
      <cdr:nvSpPr>
        <cdr:cNvPr id="16" name="TextBox 15"/>
        <cdr:cNvSpPr txBox="1"/>
      </cdr:nvSpPr>
      <cdr:spPr>
        <a:xfrm xmlns:a="http://schemas.openxmlformats.org/drawingml/2006/main">
          <a:off x="975582" y="3398214"/>
          <a:ext cx="486968" cy="3207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A28A914-2500-4D92-92C1-7857E30CB7AD}" type="TxLink">
            <a:rPr lang="en-US" sz="1100" b="1" i="0" u="none" strike="noStrike">
              <a:solidFill>
                <a:sysClr val="windowText" lastClr="000000"/>
              </a:solidFill>
              <a:latin typeface="Calibri"/>
              <a:cs typeface="Calibri"/>
            </a:rPr>
            <a:pPr/>
            <a:t> 436 </a:t>
          </a:fld>
          <a:endParaRPr lang="en-US" sz="1100">
            <a:solidFill>
              <a:sysClr val="windowText" lastClr="000000"/>
            </a:solidFill>
          </a:endParaRPr>
        </a:p>
      </cdr:txBody>
    </cdr:sp>
  </cdr:relSizeAnchor>
  <cdr:relSizeAnchor xmlns:cdr="http://schemas.openxmlformats.org/drawingml/2006/chartDrawing">
    <cdr:from>
      <cdr:x>0.01512</cdr:x>
      <cdr:y>0.04348</cdr:y>
    </cdr:from>
    <cdr:to>
      <cdr:x>0.11273</cdr:x>
      <cdr:y>0.14556</cdr:y>
    </cdr:to>
    <cdr:sp macro="" textlink="">
      <cdr:nvSpPr>
        <cdr:cNvPr id="17" name="TextBox 16"/>
        <cdr:cNvSpPr txBox="1"/>
      </cdr:nvSpPr>
      <cdr:spPr>
        <a:xfrm xmlns:a="http://schemas.openxmlformats.org/drawingml/2006/main">
          <a:off x="131056" y="273844"/>
          <a:ext cx="846059" cy="642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u="sng"/>
            <a:t>Sequest- ration Pathway</a:t>
          </a:r>
        </a:p>
      </cdr:txBody>
    </cdr:sp>
  </cdr:relSizeAnchor>
  <cdr:relSizeAnchor xmlns:cdr="http://schemas.openxmlformats.org/drawingml/2006/chartDrawing">
    <cdr:from>
      <cdr:x>0.11273</cdr:x>
      <cdr:y>0.02457</cdr:y>
    </cdr:from>
    <cdr:to>
      <cdr:x>0.20742</cdr:x>
      <cdr:y>0.15123</cdr:y>
    </cdr:to>
    <cdr:sp macro="" textlink="">
      <cdr:nvSpPr>
        <cdr:cNvPr id="18" name="TextBox 17"/>
        <cdr:cNvSpPr txBox="1"/>
      </cdr:nvSpPr>
      <cdr:spPr>
        <a:xfrm xmlns:a="http://schemas.openxmlformats.org/drawingml/2006/main">
          <a:off x="975582" y="154125"/>
          <a:ext cx="819460" cy="794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u="sng">
              <a:solidFill>
                <a:sysClr val="windowText" lastClr="000000"/>
              </a:solidFill>
            </a:rPr>
            <a:t>Annual New Acres,</a:t>
          </a:r>
        </a:p>
        <a:p xmlns:a="http://schemas.openxmlformats.org/drawingml/2006/main">
          <a:r>
            <a:rPr lang="en-US" sz="1100" u="sng">
              <a:solidFill>
                <a:sysClr val="windowText" lastClr="000000"/>
              </a:solidFill>
            </a:rPr>
            <a:t>1000s Acres</a:t>
          </a:r>
        </a:p>
      </cdr:txBody>
    </cdr:sp>
  </cdr:relSizeAnchor>
  <cdr:relSizeAnchor xmlns:cdr="http://schemas.openxmlformats.org/drawingml/2006/chartDrawing">
    <cdr:from>
      <cdr:x>0.01758</cdr:x>
      <cdr:y>0.36128</cdr:y>
    </cdr:from>
    <cdr:to>
      <cdr:x>0.10694</cdr:x>
      <cdr:y>0.4484</cdr:y>
    </cdr:to>
    <cdr:sp macro="" textlink="">
      <cdr:nvSpPr>
        <cdr:cNvPr id="19" name="TextBox 18"/>
        <cdr:cNvSpPr txBox="1"/>
      </cdr:nvSpPr>
      <cdr:spPr>
        <a:xfrm xmlns:a="http://schemas.openxmlformats.org/drawingml/2006/main">
          <a:off x="152400" y="2275500"/>
          <a:ext cx="774550" cy="5487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Agr-</a:t>
          </a:r>
        </a:p>
        <a:p xmlns:a="http://schemas.openxmlformats.org/drawingml/2006/main">
          <a:r>
            <a:rPr lang="en-US" sz="1100"/>
            <a:t>Forestry</a:t>
          </a:r>
        </a:p>
      </cdr:txBody>
    </cdr:sp>
  </cdr:relSizeAnchor>
  <cdr:relSizeAnchor xmlns:cdr="http://schemas.openxmlformats.org/drawingml/2006/chartDrawing">
    <cdr:from>
      <cdr:x>0.11273</cdr:x>
      <cdr:y>0.38655</cdr:y>
    </cdr:from>
    <cdr:to>
      <cdr:x>0.169</cdr:x>
      <cdr:y>0.4339</cdr:y>
    </cdr:to>
    <cdr:sp macro="" textlink="'Pathways Model'!$BA$6">
      <cdr:nvSpPr>
        <cdr:cNvPr id="20" name="TextBox 19"/>
        <cdr:cNvSpPr txBox="1"/>
      </cdr:nvSpPr>
      <cdr:spPr>
        <a:xfrm xmlns:a="http://schemas.openxmlformats.org/drawingml/2006/main">
          <a:off x="975582" y="2424787"/>
          <a:ext cx="486968" cy="2970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E7E9D19-48BC-49AC-AEE8-292F4D6F0035}" type="TxLink">
            <a:rPr lang="en-US" sz="1100" b="1" i="0" u="none" strike="noStrike">
              <a:solidFill>
                <a:sysClr val="windowText" lastClr="000000"/>
              </a:solidFill>
              <a:latin typeface="Calibri"/>
              <a:cs typeface="Calibri"/>
            </a:rPr>
            <a:pPr/>
            <a:t> 380 </a:t>
          </a:fld>
          <a:endParaRPr lang="en-US" sz="1100">
            <a:solidFill>
              <a:sysClr val="windowText" lastClr="000000"/>
            </a:solidFill>
          </a:endParaRPr>
        </a:p>
      </cdr:txBody>
    </cdr:sp>
  </cdr:relSizeAnchor>
  <cdr:relSizeAnchor xmlns:cdr="http://schemas.openxmlformats.org/drawingml/2006/chartDrawing">
    <cdr:from>
      <cdr:x>0.73232</cdr:x>
      <cdr:y>0.10297</cdr:y>
    </cdr:from>
    <cdr:to>
      <cdr:x>0.81199</cdr:x>
      <cdr:y>0.15212</cdr:y>
    </cdr:to>
    <cdr:sp macro="" textlink="">
      <cdr:nvSpPr>
        <cdr:cNvPr id="4" name="TextBox 3"/>
        <cdr:cNvSpPr txBox="1"/>
      </cdr:nvSpPr>
      <cdr:spPr>
        <a:xfrm xmlns:a="http://schemas.openxmlformats.org/drawingml/2006/main">
          <a:off x="6346428" y="647968"/>
          <a:ext cx="690435" cy="3092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a:t>Total</a:t>
          </a:r>
          <a:r>
            <a:rPr lang="en-US" sz="1100"/>
            <a:t>:</a:t>
          </a:r>
        </a:p>
      </cdr:txBody>
    </cdr:sp>
  </cdr:relSizeAnchor>
  <cdr:relSizeAnchor xmlns:cdr="http://schemas.openxmlformats.org/drawingml/2006/chartDrawing">
    <cdr:from>
      <cdr:x>0.31731</cdr:x>
      <cdr:y>0.08129</cdr:y>
    </cdr:from>
    <cdr:to>
      <cdr:x>0.4217</cdr:x>
      <cdr:y>0.11909</cdr:y>
    </cdr:to>
    <cdr:sp macro="" textlink="">
      <cdr:nvSpPr>
        <cdr:cNvPr id="21" name="TextBox 20"/>
        <cdr:cNvSpPr txBox="1"/>
      </cdr:nvSpPr>
      <cdr:spPr>
        <a:xfrm xmlns:a="http://schemas.openxmlformats.org/drawingml/2006/main">
          <a:off x="2750344" y="511969"/>
          <a:ext cx="9048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0.80775</cdr:x>
      <cdr:y>0.06224</cdr:y>
    </cdr:from>
    <cdr:to>
      <cdr:x>0.86737</cdr:x>
      <cdr:y>0.14845</cdr:y>
    </cdr:to>
    <cdr:sp macro="" textlink="'Pathways Model'!$BG$20">
      <cdr:nvSpPr>
        <cdr:cNvPr id="23" name="TextBox 1"/>
        <cdr:cNvSpPr txBox="1"/>
      </cdr:nvSpPr>
      <cdr:spPr>
        <a:xfrm xmlns:a="http://schemas.openxmlformats.org/drawingml/2006/main">
          <a:off x="7000087" y="391649"/>
          <a:ext cx="516678" cy="5424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57D5325-A735-4436-B7D5-BC823E7799A2}" type="TxLink">
            <a:rPr lang="en-US" sz="1600" b="0" i="0" u="none" strike="noStrike">
              <a:solidFill>
                <a:srgbClr val="000000"/>
              </a:solidFill>
              <a:latin typeface="Calibri"/>
              <a:cs typeface="Calibri"/>
            </a:rPr>
            <a:pPr/>
            <a:t> 102 </a:t>
          </a:fld>
          <a:endParaRPr lang="en-US" sz="1600"/>
        </a:p>
      </cdr:txBody>
    </cdr:sp>
  </cdr:relSizeAnchor>
  <cdr:relSizeAnchor xmlns:cdr="http://schemas.openxmlformats.org/drawingml/2006/chartDrawing">
    <cdr:from>
      <cdr:x>0.01758</cdr:x>
      <cdr:y>0.6915</cdr:y>
    </cdr:from>
    <cdr:to>
      <cdr:x>0.11931</cdr:x>
      <cdr:y>0.78336</cdr:y>
    </cdr:to>
    <cdr:sp macro="" textlink="">
      <cdr:nvSpPr>
        <cdr:cNvPr id="22" name="TextBox 1"/>
        <cdr:cNvSpPr txBox="1"/>
      </cdr:nvSpPr>
      <cdr:spPr>
        <a:xfrm xmlns:a="http://schemas.openxmlformats.org/drawingml/2006/main">
          <a:off x="152400" y="4355341"/>
          <a:ext cx="881731" cy="5786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Roadside</a:t>
          </a:r>
        </a:p>
        <a:p xmlns:a="http://schemas.openxmlformats.org/drawingml/2006/main">
          <a:r>
            <a:rPr lang="en-US" sz="1100"/>
            <a:t>Forest</a:t>
          </a:r>
        </a:p>
        <a:p xmlns:a="http://schemas.openxmlformats.org/drawingml/2006/main">
          <a:r>
            <a:rPr lang="en-US" sz="1100"/>
            <a:t>Buffers</a:t>
          </a:r>
        </a:p>
      </cdr:txBody>
    </cdr:sp>
  </cdr:relSizeAnchor>
  <cdr:relSizeAnchor xmlns:cdr="http://schemas.openxmlformats.org/drawingml/2006/chartDrawing">
    <cdr:from>
      <cdr:x>0.11273</cdr:x>
      <cdr:y>0.7181</cdr:y>
    </cdr:from>
    <cdr:to>
      <cdr:x>0.1701</cdr:x>
      <cdr:y>0.76734</cdr:y>
    </cdr:to>
    <cdr:sp macro="" textlink="'Pathways Model'!$BF$5">
      <cdr:nvSpPr>
        <cdr:cNvPr id="25" name="TextBox 2"/>
        <cdr:cNvSpPr txBox="1"/>
      </cdr:nvSpPr>
      <cdr:spPr>
        <a:xfrm xmlns:a="http://schemas.openxmlformats.org/drawingml/2006/main">
          <a:off x="975582" y="4504564"/>
          <a:ext cx="496488" cy="3088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1225917-5DE7-45A6-9474-8296105701DB}" type="TxLink">
            <a:rPr lang="en-US" sz="1100" b="1" i="0" u="none" strike="noStrike">
              <a:solidFill>
                <a:sysClr val="windowText" lastClr="000000"/>
              </a:solidFill>
              <a:latin typeface="Calibri"/>
              <a:cs typeface="Calibri"/>
            </a:rPr>
            <a:pPr/>
            <a:t> 155 </a:t>
          </a:fld>
          <a:endParaRPr lang="en-US" sz="1100">
            <a:solidFill>
              <a:sysClr val="windowText" lastClr="000000"/>
            </a:solidFill>
          </a:endParaRPr>
        </a:p>
      </cdr:txBody>
    </cdr:sp>
  </cdr:relSizeAnchor>
  <cdr:relSizeAnchor xmlns:cdr="http://schemas.openxmlformats.org/drawingml/2006/chartDrawing">
    <cdr:from>
      <cdr:x>0.01758</cdr:x>
      <cdr:y>0.78761</cdr:y>
    </cdr:from>
    <cdr:to>
      <cdr:x>0.11794</cdr:x>
      <cdr:y>0.8861</cdr:y>
    </cdr:to>
    <cdr:sp macro="" textlink="">
      <cdr:nvSpPr>
        <cdr:cNvPr id="26" name="TextBox 3"/>
        <cdr:cNvSpPr txBox="1"/>
      </cdr:nvSpPr>
      <cdr:spPr>
        <a:xfrm xmlns:a="http://schemas.openxmlformats.org/drawingml/2006/main">
          <a:off x="152400" y="4960669"/>
          <a:ext cx="869895" cy="6203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N Fertilizer</a:t>
          </a:r>
        </a:p>
        <a:p xmlns:a="http://schemas.openxmlformats.org/drawingml/2006/main">
          <a:r>
            <a:rPr lang="en-US" sz="1100"/>
            <a:t>Avoidance</a:t>
          </a:r>
        </a:p>
      </cdr:txBody>
    </cdr:sp>
  </cdr:relSizeAnchor>
  <cdr:relSizeAnchor xmlns:cdr="http://schemas.openxmlformats.org/drawingml/2006/chartDrawing">
    <cdr:from>
      <cdr:x>0.01758</cdr:x>
      <cdr:y>0.61423</cdr:y>
    </cdr:from>
    <cdr:to>
      <cdr:x>0.10694</cdr:x>
      <cdr:y>0.70135</cdr:y>
    </cdr:to>
    <cdr:sp macro="" textlink="">
      <cdr:nvSpPr>
        <cdr:cNvPr id="28" name="TextBox 5"/>
        <cdr:cNvSpPr txBox="1"/>
      </cdr:nvSpPr>
      <cdr:spPr>
        <a:xfrm xmlns:a="http://schemas.openxmlformats.org/drawingml/2006/main">
          <a:off x="152400" y="3868658"/>
          <a:ext cx="774550" cy="5487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Urban</a:t>
          </a:r>
        </a:p>
        <a:p xmlns:a="http://schemas.openxmlformats.org/drawingml/2006/main">
          <a:r>
            <a:rPr lang="en-US" sz="1100"/>
            <a:t>Forest</a:t>
          </a:r>
        </a:p>
      </cdr:txBody>
    </cdr:sp>
  </cdr:relSizeAnchor>
  <cdr:relSizeAnchor xmlns:cdr="http://schemas.openxmlformats.org/drawingml/2006/chartDrawing">
    <cdr:from>
      <cdr:x>0.11273</cdr:x>
      <cdr:y>0.62586</cdr:y>
    </cdr:from>
    <cdr:to>
      <cdr:x>0.169</cdr:x>
      <cdr:y>0.67321</cdr:y>
    </cdr:to>
    <cdr:sp macro="" textlink="'Pathways Model'!$BF$4">
      <cdr:nvSpPr>
        <cdr:cNvPr id="29" name="TextBox 6"/>
        <cdr:cNvSpPr txBox="1"/>
      </cdr:nvSpPr>
      <cdr:spPr>
        <a:xfrm xmlns:a="http://schemas.openxmlformats.org/drawingml/2006/main">
          <a:off x="975582" y="3925953"/>
          <a:ext cx="486968" cy="2970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816B784-0C44-4750-AA6C-1BDB54786D18}" type="TxLink">
            <a:rPr lang="en-US" sz="1100" b="1" i="0" u="none" strike="noStrike">
              <a:solidFill>
                <a:sysClr val="windowText" lastClr="000000"/>
              </a:solidFill>
              <a:latin typeface="Calibri"/>
              <a:cs typeface="Calibri"/>
            </a:rPr>
            <a:pPr/>
            <a:t> 147 </a:t>
          </a:fld>
          <a:endParaRPr lang="en-US" sz="1100">
            <a:solidFill>
              <a:sysClr val="windowText" lastClr="000000"/>
            </a:solidFill>
          </a:endParaRPr>
        </a:p>
      </cdr:txBody>
    </cdr:sp>
  </cdr:relSizeAnchor>
  <cdr:relSizeAnchor xmlns:cdr="http://schemas.openxmlformats.org/drawingml/2006/chartDrawing">
    <cdr:from>
      <cdr:x>0.11273</cdr:x>
      <cdr:y>0.80202</cdr:y>
    </cdr:from>
    <cdr:to>
      <cdr:x>0.17449</cdr:x>
      <cdr:y>0.85126</cdr:y>
    </cdr:to>
    <cdr:sp macro="" textlink="'Pathways Model'!$BF$6">
      <cdr:nvSpPr>
        <cdr:cNvPr id="30" name="TextBox 2"/>
        <cdr:cNvSpPr txBox="1"/>
      </cdr:nvSpPr>
      <cdr:spPr>
        <a:xfrm xmlns:a="http://schemas.openxmlformats.org/drawingml/2006/main">
          <a:off x="975582" y="5030986"/>
          <a:ext cx="534480" cy="3088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E7ED150-C8BE-4273-864F-B56B3EDB56AB}" type="TxLink">
            <a:rPr lang="en-US" sz="1100" b="1" i="0" u="none" strike="noStrike">
              <a:solidFill>
                <a:sysClr val="windowText" lastClr="000000"/>
              </a:solidFill>
              <a:latin typeface="Calibri"/>
              <a:cs typeface="Calibri"/>
            </a:rPr>
            <a:pPr/>
            <a:t> 800 </a:t>
          </a:fld>
          <a:endParaRPr lang="en-US" sz="1100">
            <a:solidFill>
              <a:sysClr val="windowText" lastClr="000000"/>
            </a:solidFil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180974</xdr:colOff>
      <xdr:row>1</xdr:row>
      <xdr:rowOff>47623</xdr:rowOff>
    </xdr:from>
    <xdr:to>
      <xdr:col>14</xdr:col>
      <xdr:colOff>609599</xdr:colOff>
      <xdr:row>92</xdr:row>
      <xdr:rowOff>19050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0974" y="238123"/>
          <a:ext cx="8963025" cy="17306927"/>
        </a:xfrm>
        <a:prstGeom prst="rect">
          <a:avLst/>
        </a:prstGeom>
        <a:solidFill>
          <a:srgbClr val="99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We assume anyone</a:t>
          </a:r>
          <a:r>
            <a:rPr lang="en-US" sz="1100" baseline="0"/>
            <a:t> wishing to use the Climate Safe Pathways model has a basic knowledge of working in Microsoft Excel (or similar spreadsheet software). </a:t>
          </a:r>
        </a:p>
        <a:p>
          <a:endParaRPr lang="en-US" sz="1100" baseline="0"/>
        </a:p>
        <a:p>
          <a:r>
            <a:rPr lang="en-US" sz="1100" baseline="0"/>
            <a:t>This workbook uses several worksheets following (to the right of) this one for calculations, graphic display, and documentation.  These are:</a:t>
          </a:r>
        </a:p>
        <a:p>
          <a:r>
            <a:rPr lang="en-US" sz="1100" b="1" baseline="0"/>
            <a:t>GHG Primer </a:t>
          </a:r>
          <a:r>
            <a:rPr lang="en-US" sz="1100" baseline="0"/>
            <a:t>- the basic science of greenhouse gases and climate.</a:t>
          </a:r>
        </a:p>
        <a:p>
          <a:r>
            <a:rPr lang="en-US" sz="1100" b="1" baseline="0"/>
            <a:t>Overview</a:t>
          </a:r>
          <a:r>
            <a:rPr lang="en-US" sz="1100" baseline="0"/>
            <a:t> - the background and intent of the model, assumptions, and an overall guide.</a:t>
          </a:r>
        </a:p>
        <a:p>
          <a:r>
            <a:rPr lang="en-US" sz="1100" b="1" baseline="0"/>
            <a:t>Glossary</a:t>
          </a:r>
          <a:r>
            <a:rPr lang="en-US" sz="1100" baseline="0"/>
            <a:t> - technical terms and acronymns defined.</a:t>
          </a:r>
        </a:p>
        <a:p>
          <a:r>
            <a:rPr lang="en-US" sz="1100" b="1" baseline="0"/>
            <a:t>Pathways Background Calcs </a:t>
          </a:r>
          <a:r>
            <a:rPr lang="en-US" sz="1100" baseline="0"/>
            <a:t>- stepwise calculations to derive key parameters for subsequent use, validate input data, and make units conversions.</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Pathways Data Alignment </a:t>
          </a:r>
          <a:r>
            <a:rPr lang="en-US" sz="1100">
              <a:solidFill>
                <a:schemeClr val="dk1"/>
              </a:solidFill>
              <a:effectLst/>
              <a:latin typeface="+mn-lt"/>
              <a:ea typeface="+mn-ea"/>
              <a:cs typeface="+mn-cs"/>
            </a:rPr>
            <a:t>- takes the 2017 state GHG inventory and divides it into sub-sectors to distinguish emission sources impacted by the Pathways model from those not impacted.</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Pathways Model </a:t>
          </a:r>
          <a:r>
            <a:rPr lang="en-US" sz="1100">
              <a:solidFill>
                <a:schemeClr val="dk1"/>
              </a:solidFill>
              <a:effectLst/>
              <a:latin typeface="+mn-lt"/>
              <a:ea typeface="+mn-ea"/>
              <a:cs typeface="+mn-cs"/>
            </a:rPr>
            <a:t>- Calculates</a:t>
          </a:r>
          <a:r>
            <a:rPr lang="en-US" sz="1100" baseline="0">
              <a:solidFill>
                <a:schemeClr val="dk1"/>
              </a:solidFill>
              <a:effectLst/>
              <a:latin typeface="+mn-lt"/>
              <a:ea typeface="+mn-ea"/>
              <a:cs typeface="+mn-cs"/>
            </a:rPr>
            <a:t> the GHG impacts of Climate Safe actions.  Users can adjust input parameters (indices) to vary the aggressivenes of specific actions.  The model </a:t>
          </a:r>
          <a:r>
            <a:rPr lang="en-US" sz="1100">
              <a:solidFill>
                <a:schemeClr val="dk1"/>
              </a:solidFill>
              <a:effectLst/>
              <a:latin typeface="+mn-lt"/>
              <a:ea typeface="+mn-ea"/>
              <a:cs typeface="+mn-cs"/>
            </a:rPr>
            <a:t>takes the sub-sector GHG data from Pathways Data</a:t>
          </a:r>
          <a:r>
            <a:rPr lang="en-US" sz="1100" baseline="0">
              <a:solidFill>
                <a:schemeClr val="dk1"/>
              </a:solidFill>
              <a:effectLst/>
              <a:latin typeface="+mn-lt"/>
              <a:ea typeface="+mn-ea"/>
              <a:cs typeface="+mn-cs"/>
            </a:rPr>
            <a:t> Alignment,</a:t>
          </a:r>
          <a:r>
            <a:rPr lang="en-US" sz="1100">
              <a:solidFill>
                <a:schemeClr val="dk1"/>
              </a:solidFill>
              <a:effectLst/>
              <a:latin typeface="+mn-lt"/>
              <a:ea typeface="+mn-ea"/>
              <a:cs typeface="+mn-cs"/>
            </a:rPr>
            <a:t> the indices, other known and</a:t>
          </a:r>
          <a:r>
            <a:rPr lang="en-US" sz="1100" baseline="0">
              <a:solidFill>
                <a:schemeClr val="dk1"/>
              </a:solidFill>
              <a:effectLst/>
              <a:latin typeface="+mn-lt"/>
              <a:ea typeface="+mn-ea"/>
              <a:cs typeface="+mn-cs"/>
            </a:rPr>
            <a:t> assumed </a:t>
          </a:r>
          <a:r>
            <a:rPr lang="en-US" sz="1100">
              <a:solidFill>
                <a:schemeClr val="dk1"/>
              </a:solidFill>
              <a:effectLst/>
              <a:latin typeface="+mn-lt"/>
              <a:ea typeface="+mn-ea"/>
              <a:cs typeface="+mn-cs"/>
            </a:rPr>
            <a:t>parameters, to predict the GHG emissions over the 2020-2030 Climate Safe time horizon.</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Model Column Guide </a:t>
          </a:r>
          <a:r>
            <a:rPr lang="en-US" sz="1100" b="0" baseline="0">
              <a:solidFill>
                <a:schemeClr val="dk1"/>
              </a:solidFill>
              <a:effectLst/>
              <a:latin typeface="+mn-lt"/>
              <a:ea typeface="+mn-ea"/>
              <a:cs typeface="+mn-cs"/>
            </a:rPr>
            <a:t>- specific step by step documentation for the Pathways Model calculations.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There</a:t>
          </a:r>
          <a:r>
            <a:rPr lang="en-US" sz="1100" baseline="0">
              <a:solidFill>
                <a:schemeClr val="dk1"/>
              </a:solidFill>
              <a:effectLst/>
              <a:latin typeface="+mn-lt"/>
              <a:ea typeface="+mn-ea"/>
              <a:cs typeface="+mn-cs"/>
            </a:rPr>
            <a:t> follow a number of worksheet-chart sheet pairs that focus on the modeling impacts to specific areas.  Each chart requires a worksheet with a table organized specifically for it.  These worksheets pull data from the Pathways Model worksheet.  The worksheet-chart pairs are:</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EV Conversion Data and EV VMT Chart </a:t>
          </a:r>
          <a:r>
            <a:rPr lang="en-US" sz="1100" baseline="0">
              <a:solidFill>
                <a:schemeClr val="dk1"/>
              </a:solidFill>
              <a:effectLst/>
              <a:latin typeface="+mn-lt"/>
              <a:ea typeface="+mn-ea"/>
              <a:cs typeface="+mn-cs"/>
            </a:rPr>
            <a:t>- shows the combined effect of transportation indices: reducing Vehicle Miles Traveled (VMT), and reducing gasoline demand with EVs (battery electric vehicles)</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Bldgs Gas -&gt; Elec Data and Bldgs Gas -&gt; Elec Chart - </a:t>
          </a:r>
          <a:r>
            <a:rPr lang="en-US" sz="1100" b="0" baseline="0">
              <a:solidFill>
                <a:schemeClr val="dk1"/>
              </a:solidFill>
              <a:effectLst/>
              <a:latin typeface="+mn-lt"/>
              <a:ea typeface="+mn-ea"/>
              <a:cs typeface="+mn-cs"/>
            </a:rPr>
            <a:t>shows the effect of the building electrification index on the GHG emissions currently caused by natural gas use in buildings.  Electrification relies on heat pumps to replace mainly natural gas furnaces and water heaters. </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Electricity Sector Data and Electricity Sector Chart -  </a:t>
          </a:r>
          <a:r>
            <a:rPr lang="en-US" sz="1100" b="0" baseline="0">
              <a:solidFill>
                <a:schemeClr val="dk1"/>
              </a:solidFill>
              <a:effectLst/>
              <a:latin typeface="+mn-lt"/>
              <a:ea typeface="+mn-ea"/>
              <a:cs typeface="+mn-cs"/>
            </a:rPr>
            <a:t>Compares the relative magnitude of emissions effects for all the indices that impact electricity demand and the resultant GHGs from utility electricity generation.</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Ind EE Ag Manure Data and Ind EE Ag Manure Chart </a:t>
          </a:r>
          <a:r>
            <a:rPr lang="en-US" sz="1100" b="0" baseline="0">
              <a:solidFill>
                <a:schemeClr val="dk1"/>
              </a:solidFill>
              <a:effectLst/>
              <a:latin typeface="+mn-lt"/>
              <a:ea typeface="+mn-ea"/>
              <a:cs typeface="+mn-cs"/>
            </a:rPr>
            <a:t>- Shows the emissions effect of these two indices.</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Pathway Emissions Summary Table and Pathways Emissions Summary Chart </a:t>
          </a:r>
          <a:r>
            <a:rPr lang="en-US" sz="1100" b="0" baseline="0">
              <a:solidFill>
                <a:schemeClr val="dk1"/>
              </a:solidFill>
              <a:effectLst/>
              <a:latin typeface="+mn-lt"/>
              <a:ea typeface="+mn-ea"/>
              <a:cs typeface="+mn-cs"/>
            </a:rPr>
            <a:t>- All the sub-sectors are combined.  The sub-sectors which are impacted by the indices use faded color effects; the sub-sectors not affected are filled with solid colors.</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Sequestration Table and Sequestration Chart - </a:t>
          </a:r>
          <a:r>
            <a:rPr lang="en-US" sz="1100" b="0" baseline="0">
              <a:solidFill>
                <a:schemeClr val="dk1"/>
              </a:solidFill>
              <a:effectLst/>
              <a:latin typeface="+mn-lt"/>
              <a:ea typeface="+mn-ea"/>
              <a:cs typeface="+mn-cs"/>
            </a:rPr>
            <a:t>show the relative magnitude of carbon dioxide removal (sequestration) by the various practices at the proposed scales.</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Pathway Sectors Net Bar Data and Sectors Net Emissions Chart </a:t>
          </a:r>
          <a:r>
            <a:rPr lang="en-US" sz="1100" b="0" baseline="0">
              <a:solidFill>
                <a:schemeClr val="dk1"/>
              </a:solidFill>
              <a:effectLst/>
              <a:latin typeface="+mn-lt"/>
              <a:ea typeface="+mn-ea"/>
              <a:cs typeface="+mn-cs"/>
            </a:rPr>
            <a:t>- Combines the emissions sub-sectors back to the original sectors, along with sequestration, to summarize the overall emissions predictions from the model.</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Here's how we suggest you use the Pathways model, if you mainly want to see the emissions impacts of changes in the indices:</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1. Review the Overview documentation to understand the intent of the model.</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2.  Go to the Pathways Model sheet.  At the top are the indices in red.  Adjust them, and you can watch the model values change below.  You can also change the "Estimated Value" numbers in blue. Note there is no protection in the rest of the spreadsheet, so any values can be changed.  However, the intent is to leave all the numbers and formulas in black undisturbed.</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3. As the model's indices are adjusted, the charts will react automatically.  The 2020 baseline emissions will remain unchanged.</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4. Some practical guidelines on ranges for the indices:</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 VMT Reduction</a:t>
          </a:r>
          <a:r>
            <a:rPr lang="en-US" sz="1100" b="0" baseline="0">
              <a:solidFill>
                <a:schemeClr val="dk1"/>
              </a:solidFill>
              <a:effectLst/>
              <a:latin typeface="+mn-lt"/>
              <a:ea typeface="+mn-ea"/>
              <a:cs typeface="+mn-cs"/>
            </a:rPr>
            <a:t>: Basically, how much can we realistically expect people to reduce driving, in favor of walking, bicycling, or public transit, by 2030?</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 EV Conversion</a:t>
          </a:r>
          <a:r>
            <a:rPr lang="en-US" sz="1100" b="0" baseline="0">
              <a:solidFill>
                <a:schemeClr val="dk1"/>
              </a:solidFill>
              <a:effectLst/>
              <a:latin typeface="+mn-lt"/>
              <a:ea typeface="+mn-ea"/>
              <a:cs typeface="+mn-cs"/>
            </a:rPr>
            <a:t>: It would be problematic to propose that EVs be sold at a higher rate than the existing rate of new car purchases, which roughly correspond to the retirement of old vehicles.  At EV purchase rates greater than old vehicle retirement rates, traded-in newer gasoline vehicles will remain on the road until the end of their useful life, and continue to consume gasoline, so gasoline emissions would remain higher than predicted by the model. There are 32 million cars and light trucks registered in California, with about 2 million new vehicles purchased per year, so the normal turnover of the California vehicle fleet is about 6% per year.  Setting the index to 60% by 2030 implies every new car buyer purchases EVs between now and then.  </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 Building electrification</a:t>
          </a:r>
          <a:r>
            <a:rPr lang="en-US" sz="1100" b="0" baseline="0">
              <a:solidFill>
                <a:schemeClr val="dk1"/>
              </a:solidFill>
              <a:effectLst/>
              <a:latin typeface="+mn-lt"/>
              <a:ea typeface="+mn-ea"/>
              <a:cs typeface="+mn-cs"/>
            </a:rPr>
            <a:t>: While the heat pump technology exists and is proven, the cost to replace a gas furnace or water heater with a heat pump is considerable, and utility costs are about the same afterwards.  Gas appliances may have useful lives in excess of 20 years.  At 50% electrification by 2030, we may roughly pace the retirement of gas burning appliances.   If we push it higher than 50%, how will we incentivize people to convert gas appliances still in good working order?</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 Climate Safe Energy Efficiency - </a:t>
          </a:r>
          <a:r>
            <a:rPr lang="en-US" sz="1100" b="0" baseline="0">
              <a:solidFill>
                <a:schemeClr val="dk1"/>
              </a:solidFill>
              <a:effectLst/>
              <a:latin typeface="+mn-lt"/>
              <a:ea typeface="+mn-ea"/>
              <a:cs typeface="+mn-cs"/>
            </a:rPr>
            <a:t>this applies to improving the electrical energy efficiency for equipment and appliances used by utility consumers.  This has been an ongoing effort in California for about 50 years.  SB350 mandates doubling the current annual efficiency savings rate by 2030 - which corresponds to setting this index to 100%.  Setting the index to 150% means tripling the annual savings rate by 2030.  This level may be technically feasible, but it will progressively cost more to promote and incentivize utility customers to accelerate efficiency measures.  Also, as utility power generation moves toward zero emissions renewables, the GHG reductions from energy efficency diminish.</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 PV Adoption</a:t>
          </a:r>
          <a:r>
            <a:rPr lang="en-US" sz="1100" b="0" baseline="0">
              <a:solidFill>
                <a:schemeClr val="dk1"/>
              </a:solidFill>
              <a:effectLst/>
              <a:latin typeface="+mn-lt"/>
              <a:ea typeface="+mn-ea"/>
              <a:cs typeface="+mn-cs"/>
            </a:rPr>
            <a:t>: There are still plenty of rooftops, parking lots, etc. that could install "behind the meter" PV arrays, so in theory this index could be pushed higher.  And, like energy efficiency, as the utility power becomes more renewable, the GHG emissions reductions for PV adoption will diminish.</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-2030 Renewable Content - </a:t>
          </a:r>
          <a:r>
            <a:rPr lang="en-US" sz="1100" b="0">
              <a:solidFill>
                <a:schemeClr val="dk1"/>
              </a:solidFill>
              <a:effectLst/>
              <a:latin typeface="+mn-lt"/>
              <a:ea typeface="+mn-ea"/>
              <a:cs typeface="+mn-cs"/>
            </a:rPr>
            <a:t>Given the intermittent nature of renewable electricity (primarily</a:t>
          </a:r>
          <a:r>
            <a:rPr lang="en-US" sz="1100" b="0" baseline="0">
              <a:solidFill>
                <a:schemeClr val="dk1"/>
              </a:solidFill>
              <a:effectLst/>
              <a:latin typeface="+mn-lt"/>
              <a:ea typeface="+mn-ea"/>
              <a:cs typeface="+mn-cs"/>
            </a:rPr>
            <a:t> wind and solar PV)</a:t>
          </a:r>
          <a:r>
            <a:rPr lang="en-US" sz="1100" b="0">
              <a:solidFill>
                <a:schemeClr val="dk1"/>
              </a:solidFill>
              <a:effectLst/>
              <a:latin typeface="+mn-lt"/>
              <a:ea typeface="+mn-ea"/>
              <a:cs typeface="+mn-cs"/>
            </a:rPr>
            <a:t>, until very significant investments are made in electricity storage, natural gas-powered generation will be required to prevent blackouts; 100% renewable electricity is not deemed practical in ten years.</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-Ind. GHG Reduction</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 </a:t>
          </a:r>
          <a:r>
            <a:rPr lang="en-US" sz="1100">
              <a:solidFill>
                <a:schemeClr val="dk1"/>
              </a:solidFill>
              <a:effectLst/>
              <a:latin typeface="+mn-lt"/>
              <a:ea typeface="+mn-ea"/>
              <a:cs typeface="+mn-cs"/>
            </a:rPr>
            <a:t>In the Industrial sector, energy efficiency improvements can only reduce wasted fossil fuel energy.  The useful energy actually needed to drive the industrial processes (and the resulting emissions) cannot be easily eliminated.   So</a:t>
          </a:r>
          <a:r>
            <a:rPr lang="en-US" sz="1100" baseline="0">
              <a:solidFill>
                <a:schemeClr val="dk1"/>
              </a:solidFill>
              <a:effectLst/>
              <a:latin typeface="+mn-lt"/>
              <a:ea typeface="+mn-ea"/>
              <a:cs typeface="+mn-cs"/>
            </a:rPr>
            <a:t>, setting this to 100% is technically unrealistic.</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Here are some guidelines for the sequestration indices:</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-Rangeland Compost:</a:t>
          </a:r>
          <a:r>
            <a:rPr lang="en-US" sz="1100" b="0" baseline="0">
              <a:solidFill>
                <a:schemeClr val="dk1"/>
              </a:solidFill>
              <a:effectLst/>
              <a:latin typeface="+mn-lt"/>
              <a:ea typeface="+mn-ea"/>
              <a:cs typeface="+mn-cs"/>
            </a:rPr>
            <a:t> The practical limit has to do with compost supply. </a:t>
          </a:r>
          <a:r>
            <a:rPr lang="en-US" sz="1100" i="0">
              <a:solidFill>
                <a:schemeClr val="dk1"/>
              </a:solidFill>
              <a:effectLst/>
              <a:latin typeface="+mn-lt"/>
              <a:ea typeface="+mn-ea"/>
              <a:cs typeface="+mn-cs"/>
            </a:rPr>
            <a:t>There are roughly 30 million tons of organics currently going to landfill in California each year; this does not include livestock waste organics, forest waste organics, etc.  Under AB1383, the goal is to eliminate methane forming organics from landfills</a:t>
          </a:r>
          <a:r>
            <a:rPr lang="en-US" sz="1100" i="0" baseline="0">
              <a:solidFill>
                <a:schemeClr val="dk1"/>
              </a:solidFill>
              <a:effectLst/>
              <a:latin typeface="+mn-lt"/>
              <a:ea typeface="+mn-ea"/>
              <a:cs typeface="+mn-cs"/>
            </a:rPr>
            <a:t>.  Therefore</a:t>
          </a:r>
          <a:r>
            <a:rPr lang="en-US" sz="1100" i="0">
              <a:solidFill>
                <a:schemeClr val="dk1"/>
              </a:solidFill>
              <a:effectLst/>
              <a:latin typeface="+mn-lt"/>
              <a:ea typeface="+mn-ea"/>
              <a:cs typeface="+mn-cs"/>
            </a:rPr>
            <a:t>, these materials are looking for a home; Carbon Cycle</a:t>
          </a:r>
          <a:r>
            <a:rPr lang="en-US" sz="1100" i="0" baseline="0">
              <a:solidFill>
                <a:schemeClr val="dk1"/>
              </a:solidFill>
              <a:effectLst/>
              <a:latin typeface="+mn-lt"/>
              <a:ea typeface="+mn-ea"/>
              <a:cs typeface="+mn-cs"/>
            </a:rPr>
            <a:t> Institute, the sequestration model developers, </a:t>
          </a:r>
          <a:r>
            <a:rPr lang="en-US" sz="1100" i="0">
              <a:solidFill>
                <a:schemeClr val="dk1"/>
              </a:solidFill>
              <a:effectLst/>
              <a:latin typeface="+mn-lt"/>
              <a:ea typeface="+mn-ea"/>
              <a:cs typeface="+mn-cs"/>
            </a:rPr>
            <a:t>believe 2.85 million total acres (which translates</a:t>
          </a:r>
          <a:r>
            <a:rPr lang="en-US" sz="1100" i="0" baseline="0">
              <a:solidFill>
                <a:schemeClr val="dk1"/>
              </a:solidFill>
              <a:effectLst/>
              <a:latin typeface="+mn-lt"/>
              <a:ea typeface="+mn-ea"/>
              <a:cs typeface="+mn-cs"/>
            </a:rPr>
            <a:t> to this </a:t>
          </a:r>
          <a:r>
            <a:rPr lang="en-US" sz="1100" i="0">
              <a:solidFill>
                <a:schemeClr val="dk1"/>
              </a:solidFill>
              <a:effectLst/>
              <a:latin typeface="+mn-lt"/>
              <a:ea typeface="+mn-ea"/>
              <a:cs typeface="+mn-cs"/>
            </a:rPr>
            <a:t>index set to 350) is a reasonable estimate of  rangelands that could appropriately receive supplemental compost applications.  5.7 million total</a:t>
          </a:r>
          <a:r>
            <a:rPr lang="en-US" sz="1100" i="0" baseline="0">
              <a:solidFill>
                <a:schemeClr val="dk1"/>
              </a:solidFill>
              <a:effectLst/>
              <a:latin typeface="+mn-lt"/>
              <a:ea typeface="+mn-ea"/>
              <a:cs typeface="+mn-cs"/>
            </a:rPr>
            <a:t> acres (index set to </a:t>
          </a:r>
          <a:r>
            <a:rPr lang="en-US" sz="1100" i="0">
              <a:solidFill>
                <a:schemeClr val="dk1"/>
              </a:solidFill>
              <a:effectLst/>
              <a:latin typeface="+mn-lt"/>
              <a:ea typeface="+mn-ea"/>
              <a:cs typeface="+mn-cs"/>
            </a:rPr>
            <a:t>700)</a:t>
          </a:r>
          <a:r>
            <a:rPr lang="en-US" sz="1100" i="0" baseline="0">
              <a:solidFill>
                <a:schemeClr val="dk1"/>
              </a:solidFill>
              <a:effectLst/>
              <a:latin typeface="+mn-lt"/>
              <a:ea typeface="+mn-ea"/>
              <a:cs typeface="+mn-cs"/>
            </a:rPr>
            <a:t> </a:t>
          </a:r>
          <a:r>
            <a:rPr lang="en-US" sz="1100" i="0">
              <a:solidFill>
                <a:schemeClr val="dk1"/>
              </a:solidFill>
              <a:effectLst/>
              <a:latin typeface="+mn-lt"/>
              <a:ea typeface="+mn-ea"/>
              <a:cs typeface="+mn-cs"/>
            </a:rPr>
            <a:t>might be a very high end estimate.</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-Pasture Compost:</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About 11.5 million acres are the estimated total pasture in California (as distinct from rangeland), so over 2020-30 time frame you would have employed all the pasture land at 1.15 million annual new acres (index set to 1,150).</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-Cropland Compost: </a:t>
          </a:r>
          <a:r>
            <a:rPr lang="en-US" sz="1100" b="0" i="0" baseline="0">
              <a:solidFill>
                <a:schemeClr val="dk1"/>
              </a:solidFill>
              <a:effectLst/>
              <a:latin typeface="+mn-lt"/>
              <a:ea typeface="+mn-ea"/>
              <a:cs typeface="+mn-cs"/>
            </a:rPr>
            <a:t>For cropland compost, the 10.4 million total cropland acres would be fully employed in 10 years at 10.4 million new acres/yr (index set to 1,040). However, compost loading can be significantly increased on a per acre basis in many cases, meaning the sequestration rate parameter could be significantly increased. But it requires compost infrastructure to be built, and on-farm composting to become much more widespread.</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-Agroforestry: </a:t>
          </a:r>
          <a:r>
            <a:rPr lang="en-US" sz="1100" b="0" i="0" baseline="0">
              <a:solidFill>
                <a:schemeClr val="dk1"/>
              </a:solidFill>
              <a:effectLst/>
              <a:latin typeface="+mn-lt"/>
              <a:ea typeface="+mn-ea"/>
              <a:cs typeface="+mn-cs"/>
            </a:rPr>
            <a:t>While it yields higher sequestration per acre than rangeland composting, it is constrained by soil, water, and other ecosystem constraints.  Any further increases beyond 3.8 million total acres by 2030 (index set to 380) would require careful analysis.</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-Riparian Restoration:</a:t>
          </a:r>
          <a:r>
            <a:rPr lang="en-US" sz="1100" b="0" i="0" baseline="0">
              <a:solidFill>
                <a:schemeClr val="dk1"/>
              </a:solidFill>
              <a:effectLst/>
              <a:latin typeface="+mn-lt"/>
              <a:ea typeface="+mn-ea"/>
              <a:cs typeface="+mn-cs"/>
            </a:rPr>
            <a:t>  The available acreage used in the 80 thousand new acres/year index (up to 800,000 acres by 2030) is based on known acreage of lost riparian forest habitat in the San Joaquin Valley.  This index might be increased significantly if other amenable acreage could be quantified.</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-Urban Forestry: </a:t>
          </a:r>
          <a:r>
            <a:rPr lang="en-US" sz="1100" b="0" i="0" baseline="0">
              <a:solidFill>
                <a:schemeClr val="dk1"/>
              </a:solidFill>
              <a:effectLst/>
              <a:latin typeface="+mn-lt"/>
              <a:ea typeface="+mn-ea"/>
              <a:cs typeface="+mn-cs"/>
            </a:rPr>
            <a:t>Carbon Cycle Institute estimates the 147 thousand new acres/year would reach the limit of urban tree coverage over a ten year period.</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-Roadside Forest Buffers: </a:t>
          </a:r>
          <a:r>
            <a:rPr lang="en-US" sz="1100" b="0" i="0" baseline="0">
              <a:solidFill>
                <a:schemeClr val="dk1"/>
              </a:solidFill>
              <a:effectLst/>
              <a:latin typeface="+mn-lt"/>
              <a:ea typeface="+mn-ea"/>
              <a:cs typeface="+mn-cs"/>
            </a:rPr>
            <a:t>The width used to estimate the acreage of the roadside buffers was "extremely conservative", so the annual new acreage has the potential for significant increase above 155 thousand, or 1.55 million acres total by 2030.</a:t>
          </a:r>
          <a:endParaRPr lang="en-US"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0">
            <a:solidFill>
              <a:schemeClr val="dk1"/>
            </a:solidFill>
            <a:effectLst/>
            <a:latin typeface="+mn-lt"/>
            <a:ea typeface="+mn-ea"/>
            <a:cs typeface="+mn-cs"/>
          </a:endParaRPr>
        </a:p>
        <a:p>
          <a:r>
            <a:rPr lang="en-US" sz="1100"/>
            <a:t>If you're</a:t>
          </a:r>
          <a:r>
            <a:rPr lang="en-US" sz="1100" baseline="0"/>
            <a:t> experienced in Excel, and want to take it further to understand the model's algorithms:</a:t>
          </a:r>
        </a:p>
        <a:p>
          <a:endParaRPr lang="en-US" sz="1100" baseline="0"/>
        </a:p>
        <a:p>
          <a:r>
            <a:rPr lang="en-US" sz="1100" baseline="0"/>
            <a:t>1. The Pathways Data Alignment worksheet is the starting basis, to understand the pieces of the California GHG Inventory that will - and won't- be amenable to Climate Safe emissions reductions - the sub-sectors.</a:t>
          </a:r>
        </a:p>
        <a:p>
          <a:r>
            <a:rPr lang="en-US" sz="1100" baseline="0"/>
            <a:t>2. The Pathways Model worksheet proceeds sequentially from left to right; columns often take as inputs the results from columns to the left of them.  The footnotes below the model give the data sources, and specific documentation of individual items.</a:t>
          </a:r>
        </a:p>
        <a:p>
          <a:r>
            <a:rPr lang="en-US" sz="1100" baseline="0"/>
            <a:t>3. The Model Column Guide worksheet is laid out so you can create a second window (vertical split) to have the Guide open and scroll it left to right, in parallel with scrolling the Model, for drilldown documentation on each part of the model.</a:t>
          </a:r>
        </a:p>
        <a:p>
          <a:r>
            <a:rPr lang="en-US" sz="1100" baseline="0"/>
            <a:t>4. Two features of Excel make it easier to see how cells relate to each other in formula calculations:</a:t>
          </a:r>
        </a:p>
        <a:p>
          <a:pPr lvl="1"/>
          <a:r>
            <a:rPr lang="en-US" sz="1100" baseline="0"/>
            <a:t>- Pressing the F2 key while on a formula cell will highlight in color all the other cells providing input values, if they are on the current sheet and visible;</a:t>
          </a:r>
        </a:p>
        <a:p>
          <a:pPr lvl="1"/>
          <a:r>
            <a:rPr lang="en-US" sz="1100" baseline="0"/>
            <a:t>- Under the Formulas tab, Trace Precedents will draw arrows to all cells that provide input values to the current cell; Trace Dependents will run arrows to all cells that take their input from the current cell.</a:t>
          </a: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0.33469</cdr:x>
      <cdr:y>0.12098</cdr:y>
    </cdr:from>
    <cdr:to>
      <cdr:x>0.39093</cdr:x>
      <cdr:y>0.16634</cdr:y>
    </cdr:to>
    <cdr:sp macro="" textlink="">
      <cdr:nvSpPr>
        <cdr:cNvPr id="10" name="TextBox 9"/>
        <cdr:cNvSpPr txBox="1"/>
      </cdr:nvSpPr>
      <cdr:spPr>
        <a:xfrm xmlns:a="http://schemas.openxmlformats.org/drawingml/2006/main">
          <a:off x="2905125" y="762000"/>
          <a:ext cx="488156"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0.48649</cdr:x>
      <cdr:y>0.66047</cdr:y>
    </cdr:from>
    <cdr:to>
      <cdr:x>0.69764</cdr:x>
      <cdr:y>0.71163</cdr:y>
    </cdr:to>
    <cdr:sp macro="" textlink="">
      <cdr:nvSpPr>
        <cdr:cNvPr id="2" name="TextBox 1"/>
        <cdr:cNvSpPr txBox="1"/>
      </cdr:nvSpPr>
      <cdr:spPr>
        <a:xfrm xmlns:a="http://schemas.openxmlformats.org/drawingml/2006/main">
          <a:off x="4220307" y="4161693"/>
          <a:ext cx="1831731" cy="3223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a:t>2030 Sequestration</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180974</xdr:rowOff>
    </xdr:from>
    <xdr:to>
      <xdr:col>15</xdr:col>
      <xdr:colOff>24342</xdr:colOff>
      <xdr:row>27</xdr:row>
      <xdr:rowOff>38100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180974"/>
          <a:ext cx="9168342" cy="500062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nSpc>
              <a:spcPct val="115000"/>
            </a:lnSpc>
            <a:spcBef>
              <a:spcPts val="0"/>
            </a:spcBef>
            <a:spcAft>
              <a:spcPts val="1000"/>
            </a:spcAft>
          </a:pPr>
          <a:r>
            <a:rPr lang="en-US" sz="1000">
              <a:solidFill>
                <a:schemeClr val="dk1"/>
              </a:solidFill>
              <a:effectLst/>
              <a:latin typeface="Arial" panose="020B0604020202020204" pitchFamily="34" charset="0"/>
              <a:ea typeface="Calibri" panose="020F0502020204030204" pitchFamily="34" charset="0"/>
              <a:cs typeface="+mn-cs"/>
            </a:rPr>
            <a:t>Greenhouse gases (GHGs) in the atmosphere are the molecules that can absorb and trap the radiant heat that the Earth's surface normally emits back into space.  The Earth must emit part of the Sun’s warmth back into space in order to keep the planet from overheating – and to keep the climate stable.</a:t>
          </a:r>
        </a:p>
        <a:p>
          <a:pPr marL="0" marR="0" indent="0">
            <a:lnSpc>
              <a:spcPct val="115000"/>
            </a:lnSpc>
            <a:spcBef>
              <a:spcPts val="0"/>
            </a:spcBef>
            <a:spcAft>
              <a:spcPts val="1000"/>
            </a:spcAft>
          </a:pPr>
          <a:r>
            <a:rPr lang="en-US" sz="1000">
              <a:solidFill>
                <a:schemeClr val="dk1"/>
              </a:solidFill>
              <a:effectLst/>
              <a:latin typeface="Arial" panose="020B0604020202020204" pitchFamily="34" charset="0"/>
              <a:ea typeface="Calibri" panose="020F0502020204030204" pitchFamily="34" charset="0"/>
              <a:cs typeface="+mn-cs"/>
            </a:rPr>
            <a:t>Nitrogen and oxygen, the two compounds that make up the vast majority of the atmosphere, are not greenhouse gases and do not trap the Earth’s heat.  This is because they are “diatomic” molecules, made of two atoms (N2 and O2).  As a result, they do not possess certain physical attributes that allow them to absorb radiant heat. However, most gases that are made up of three or more atoms – such as carbon dioxide (CO2) , methane (CH4), water vapor (H2O) and many synthetic (man-made) gases, are GHGs.  Often, the more atoms a gaseous molecule has, the more potent it is as a GHG.</a:t>
          </a:r>
        </a:p>
        <a:p>
          <a:pPr marL="0" marR="0" indent="0">
            <a:lnSpc>
              <a:spcPct val="115000"/>
            </a:lnSpc>
            <a:spcBef>
              <a:spcPts val="0"/>
            </a:spcBef>
            <a:spcAft>
              <a:spcPts val="1000"/>
            </a:spcAft>
          </a:pPr>
          <a:r>
            <a:rPr lang="en-US" sz="1000">
              <a:solidFill>
                <a:schemeClr val="dk1"/>
              </a:solidFill>
              <a:effectLst/>
              <a:latin typeface="Arial" panose="020B0604020202020204" pitchFamily="34" charset="0"/>
              <a:ea typeface="Calibri" panose="020F0502020204030204" pitchFamily="34" charset="0"/>
              <a:cs typeface="+mn-cs"/>
            </a:rPr>
            <a:t>A certain amount of naturally occurring GHGs are necessary to keep the climate as hospitable as it is today.  Without the GHG properties of water vapor and naturally occurring carbon dioxide in the atmosphere, Earth would lose more heat and be about 60 degrees F colder – and inhospitable to life as we know it. </a:t>
          </a:r>
        </a:p>
        <a:p>
          <a:pPr marL="0" marR="0" indent="0">
            <a:lnSpc>
              <a:spcPct val="115000"/>
            </a:lnSpc>
            <a:spcBef>
              <a:spcPts val="0"/>
            </a:spcBef>
            <a:spcAft>
              <a:spcPts val="1000"/>
            </a:spcAft>
          </a:pPr>
          <a:r>
            <a:rPr lang="en-US" sz="1000">
              <a:solidFill>
                <a:schemeClr val="dk1"/>
              </a:solidFill>
              <a:effectLst/>
              <a:latin typeface="Arial" panose="020B0604020202020204" pitchFamily="34" charset="0"/>
              <a:ea typeface="Calibri" panose="020F0502020204030204" pitchFamily="34" charset="0"/>
              <a:cs typeface="+mn-cs"/>
            </a:rPr>
            <a:t>Aside from water vapor, most GHGs are in trace amounts in the atmosphere.  The second most prevalent GHG (after water vapor), carbon dioxide, is at 400+ parts per million, only about one molecule in 2,500 in the air.  Yet it can exert an enormous influence on climate.  It is the main GHG pollutant of industrial civilization, as we pull carbon-based fossil fuels (coal, oil, natural gas) out of the Earth’s crust and deposit the waste carbon dioxide in the atmosphere when we burn them.  Other synthetic gases, such as refrigerants, which leak out of refrigerators and air conditioners, compound the GHG problem.  </a:t>
          </a:r>
          <a:r>
            <a:rPr lang="en-US" sz="1000">
              <a:latin typeface="Arial" panose="020B0604020202020204" pitchFamily="34" charset="0"/>
              <a:cs typeface="Arial" panose="020B0604020202020204" pitchFamily="34" charset="0"/>
            </a:rPr>
            <a:t>The diagram below this</a:t>
          </a:r>
          <a:r>
            <a:rPr lang="en-US" sz="1000" baseline="0">
              <a:latin typeface="Arial" panose="020B0604020202020204" pitchFamily="34" charset="0"/>
              <a:cs typeface="Arial" panose="020B0604020202020204" pitchFamily="34" charset="0"/>
            </a:rPr>
            <a:t> text shows the GHG related planetary energy flows.</a:t>
          </a:r>
          <a:endParaRPr lang="en-US" sz="1000">
            <a:latin typeface="Arial" panose="020B0604020202020204" pitchFamily="34" charset="0"/>
            <a:cs typeface="Arial" panose="020B0604020202020204" pitchFamily="34" charset="0"/>
          </a:endParaRPr>
        </a:p>
        <a:p>
          <a:pPr marL="0" marR="0" indent="0">
            <a:lnSpc>
              <a:spcPct val="115000"/>
            </a:lnSpc>
            <a:spcBef>
              <a:spcPts val="0"/>
            </a:spcBef>
            <a:spcAft>
              <a:spcPts val="1000"/>
            </a:spcAft>
          </a:pPr>
          <a:r>
            <a:rPr lang="en-US" sz="1000">
              <a:solidFill>
                <a:schemeClr val="dk1"/>
              </a:solidFill>
              <a:effectLst/>
              <a:latin typeface="Arial" panose="020B0604020202020204" pitchFamily="34" charset="0"/>
              <a:ea typeface="Calibri" panose="020F0502020204030204" pitchFamily="34" charset="0"/>
              <a:cs typeface="+mn-cs"/>
            </a:rPr>
            <a:t>Carbon dioxide</a:t>
          </a:r>
          <a:r>
            <a:rPr lang="en-US" sz="1000" baseline="0">
              <a:solidFill>
                <a:schemeClr val="dk1"/>
              </a:solidFill>
              <a:effectLst/>
              <a:latin typeface="Arial" panose="020B0604020202020204" pitchFamily="34" charset="0"/>
              <a:ea typeface="Calibri" panose="020F0502020204030204" pitchFamily="34" charset="0"/>
              <a:cs typeface="+mn-cs"/>
            </a:rPr>
            <a:t> is naturally removed from the atmosphere through the process of plant photosynthesis, where it becomes the solid carbon backbone of plant matter.  We can encourage this carbon dioxide removal through specific land use practices, such as reforestation or afforestation (establishing trees where none existed previously).  If we then insure the captured plant carbon remains in the soil long-term, we employ the practice called Carbon Sequestration (Sequestration for short).  This is currently our only cost-effective means for taking action to reduce atmospheric carbon dioxide. </a:t>
          </a:r>
          <a:endParaRPr lang="en-US" sz="1000">
            <a:solidFill>
              <a:schemeClr val="dk1"/>
            </a:solidFill>
            <a:effectLst/>
            <a:latin typeface="Arial" panose="020B0604020202020204" pitchFamily="34" charset="0"/>
            <a:ea typeface="Calibri" panose="020F0502020204030204" pitchFamily="34" charset="0"/>
            <a:cs typeface="+mn-cs"/>
          </a:endParaRPr>
        </a:p>
        <a:p>
          <a:pPr marL="0" marR="0" indent="0">
            <a:lnSpc>
              <a:spcPct val="115000"/>
            </a:lnSpc>
            <a:spcBef>
              <a:spcPts val="0"/>
            </a:spcBef>
            <a:spcAft>
              <a:spcPts val="1000"/>
            </a:spcAft>
          </a:pPr>
          <a:r>
            <a:rPr lang="en-US" sz="1000">
              <a:solidFill>
                <a:schemeClr val="dk1"/>
              </a:solidFill>
              <a:effectLst/>
              <a:latin typeface="Arial" panose="020B0604020202020204" pitchFamily="34" charset="0"/>
              <a:ea typeface="Calibri" panose="020F0502020204030204" pitchFamily="34" charset="0"/>
              <a:cs typeface="+mn-cs"/>
            </a:rPr>
            <a:t>We use carbon dioxide mass emissions as the measurement yardstick for total GHG pollution.  Other GHGs, such as methane, are converted into an equivalent mass of carbon dioxide, determined by their relative heat trapping potency, and estimated lifetime in the atmosphere.  In this model, we quantify total GHG emissions as million metric tons carbon dioxide equivalent (MMTCO2eq).  A metric ton is 1000 kilograms, or about 2,200 pounds.  Our model is based on California statewide direct emissions, which are currently running in excess of 400 MMTCO2eq annually.</a:t>
          </a:r>
        </a:p>
        <a:p>
          <a:pPr marL="0" marR="0" indent="0">
            <a:lnSpc>
              <a:spcPct val="115000"/>
            </a:lnSpc>
            <a:spcBef>
              <a:spcPts val="0"/>
            </a:spcBef>
            <a:spcAft>
              <a:spcPts val="1000"/>
            </a:spcAft>
          </a:pPr>
          <a:r>
            <a:rPr lang="en-US" sz="1000">
              <a:solidFill>
                <a:schemeClr val="dk1"/>
              </a:solidFill>
              <a:effectLst/>
              <a:latin typeface="Arial" panose="020B0604020202020204" pitchFamily="34" charset="0"/>
              <a:ea typeface="Calibri" panose="020F0502020204030204" pitchFamily="34" charset="0"/>
              <a:cs typeface="+mn-cs"/>
            </a:rPr>
            <a:t>California does not count indirect emissions in their statewide inventory, which are emitted by other states and countries burning fossil fuels on our behalf to make the products that we import.  Nor do we count air travel heading outside the state, which is a significant GHG source.  Since this Pathways model is based on the state GHG inventory, it does not account for either of these emissions sources. </a:t>
          </a:r>
        </a:p>
        <a:p>
          <a:endParaRPr lang="en-US" sz="1000">
            <a:effectLst/>
            <a:latin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effectLst/>
              <a:latin typeface="Arial" panose="020B0604020202020204" pitchFamily="34" charset="0"/>
            </a:rPr>
            <a:t>: </a:t>
          </a:r>
          <a:endParaRPr lang="en-US" sz="10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32</xdr:row>
          <xdr:rowOff>9525</xdr:rowOff>
        </xdr:from>
        <xdr:to>
          <xdr:col>14</xdr:col>
          <xdr:colOff>590550</xdr:colOff>
          <xdr:row>66</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28572</xdr:rowOff>
    </xdr:from>
    <xdr:to>
      <xdr:col>14</xdr:col>
      <xdr:colOff>523875</xdr:colOff>
      <xdr:row>166</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5" y="28572"/>
          <a:ext cx="8991600" cy="31594428"/>
        </a:xfrm>
        <a:prstGeom prst="rect">
          <a:avLst/>
        </a:prstGeom>
        <a:solidFill>
          <a:srgbClr val="B9FDB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15000"/>
            </a:lnSpc>
            <a:spcBef>
              <a:spcPts val="0"/>
            </a:spcBef>
            <a:spcAft>
              <a:spcPts val="1000"/>
            </a:spcAft>
          </a:pPr>
          <a:r>
            <a:rPr lang="en-US" sz="1000" u="sng">
              <a:effectLst/>
              <a:latin typeface="Arial" panose="020B0604020202020204" pitchFamily="34" charset="0"/>
              <a:ea typeface="Calibri" panose="020F0502020204030204" pitchFamily="34" charset="0"/>
              <a:cs typeface="Times New Roman" panose="02020603050405020304" pitchFamily="18" charset="0"/>
            </a:rPr>
            <a:t>Background</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The Climate Center (Center) is promoting a Climate Safe California policy program to encourage the fast reduction of in-state greenhouse gas (GHG) emissions.  The goal is statewide GHG inventory sector emissions reductions to yield an overall 80% reduction from 1990 emissions levels by the year 2030, along with sufficient carbon sequestration to meet net zero GHG going into the atmosphere.  The Center is promoting a number of statewide actions, such as policies promoting the rapid adoption of zero-emission electric vehicles (EVs), to meet the GHG reduction goal. </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To better understand how the Climate Safe policies will impact GHG emissions, we have developed this Pathways model.  This model takes as inputs the extent of a number of tangible actions, and provides a first pass estimate of the resulting GHG emissions reductions.  The model also incorporates a working lands carbon sequestration model developed by others, to quantify the net emissions from all emission related activities expressed in the model.</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u="sng">
              <a:effectLst/>
              <a:latin typeface="Arial" panose="020B0604020202020204" pitchFamily="34" charset="0"/>
              <a:ea typeface="Calibri" panose="020F0502020204030204" pitchFamily="34" charset="0"/>
              <a:cs typeface="Times New Roman" panose="02020603050405020304" pitchFamily="18" charset="0"/>
            </a:rPr>
            <a:t>Methodology</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To the extent feasible, the Pathways model is based on available data that has been accepted by the scientific and policy making community.  The data forming the Pathways basis was retrieved from various government and other websites, and entered into Microsoft Excel 2019 spreadsheet software.  The data sources are documented in footnotes in the modeling spreadsheets.  This should be considered a rough model, intended to indicate in a broad sense the emission reduction potential from specific actions (pathways).</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The overall Pathways concept is to quantify the tangible actions with eight specific indices, and estimate the impact of each on statewide GHG emissions.  These indices are intended to be adjusted by users, allowing them to view the estimated impact on the resulting GHG emissions. The emission reduction indices are mainly taken from initiatives proposed by the Climate Safe policy:</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A reduction Vehicle Miles Travelled (VMT) through mass transit and micro-mobility,</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Gasoline demand reduction from adoption of electric vehicles (EVs), replacing gasoline fueled vehicles,</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Building Electrification - Substitution of electricity for natural gas for building heating purposes,</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Increased renewable energy content in electricity generation,</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Accelerated adoption of rooftop solar photovoltaics (PV),</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Increased energy efficiency savings reducing electricity demand, </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Improved energy efficiency in industrial processes, and</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100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Improved animal manure management to reduce methane emission from decomposition.</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GHG emissions that are difficult to curtail can be mitigated through Carbon Sequestration - the </a:t>
          </a:r>
          <a:r>
            <a:rPr lang="en-US" sz="1000" baseline="0">
              <a:effectLst/>
              <a:latin typeface="Arial" panose="020B0604020202020204" pitchFamily="34" charset="0"/>
              <a:ea typeface="Calibri" panose="020F0502020204030204" pitchFamily="34" charset="0"/>
              <a:cs typeface="Times New Roman" panose="02020603050405020304" pitchFamily="18" charset="0"/>
            </a:rPr>
            <a:t>removal of carbon dioxide from the atmosphere by plants, and  stabilizing the carbon containing plant matter in the soil</a:t>
          </a:r>
          <a:r>
            <a:rPr lang="en-US" sz="1000">
              <a:effectLst/>
              <a:latin typeface="Arial" panose="020B0604020202020204" pitchFamily="34" charset="0"/>
              <a:ea typeface="Calibri" panose="020F0502020204030204" pitchFamily="34" charset="0"/>
              <a:cs typeface="Times New Roman" panose="02020603050405020304" pitchFamily="18" charset="0"/>
            </a:rPr>
            <a:t>.  Sequestration is incorporated into the model as new management practices on “working lands” - lands under active human</a:t>
          </a:r>
          <a:r>
            <a:rPr lang="en-US" sz="1000" baseline="0">
              <a:effectLst/>
              <a:latin typeface="Arial" panose="020B0604020202020204" pitchFamily="34" charset="0"/>
              <a:ea typeface="Calibri" panose="020F0502020204030204" pitchFamily="34" charset="0"/>
              <a:cs typeface="Times New Roman" panose="02020603050405020304" pitchFamily="18" charset="0"/>
            </a:rPr>
            <a:t> management</a:t>
          </a:r>
          <a:r>
            <a:rPr lang="en-US" sz="1000">
              <a:effectLst/>
              <a:latin typeface="Arial" panose="020B0604020202020204" pitchFamily="34" charset="0"/>
              <a:ea typeface="Calibri" panose="020F0502020204030204" pitchFamily="34" charset="0"/>
              <a:cs typeface="Times New Roman" panose="02020603050405020304" pitchFamily="18" charset="0"/>
            </a:rPr>
            <a:t>.  These practices take better advantage of the ability of plants to absorb carbon dioxide from the atmosphere and convert it to forms of solid carbon, that is then sequestered in the soil.  Examples</a:t>
          </a:r>
          <a:r>
            <a:rPr lang="en-US" sz="1000" baseline="0">
              <a:effectLst/>
              <a:latin typeface="Arial" panose="020B0604020202020204" pitchFamily="34" charset="0"/>
              <a:ea typeface="Calibri" panose="020F0502020204030204" pitchFamily="34" charset="0"/>
              <a:cs typeface="Times New Roman" panose="02020603050405020304" pitchFamily="18" charset="0"/>
            </a:rPr>
            <a:t> of w</a:t>
          </a:r>
          <a:r>
            <a:rPr lang="en-US" sz="1000">
              <a:effectLst/>
              <a:latin typeface="Arial" panose="020B0604020202020204" pitchFamily="34" charset="0"/>
              <a:ea typeface="Calibri" panose="020F0502020204030204" pitchFamily="34" charset="0"/>
              <a:cs typeface="Times New Roman" panose="02020603050405020304" pitchFamily="18" charset="0"/>
            </a:rPr>
            <a:t>orking lands are cropland, pasture, and forestry. The sequestration modeling was performed by Carbon Cycle Institute, and incorporated as-is to the Pathways model.  Its indices consisted of nine distinct working land management practices:</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Rangeland compost</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Pasture compost</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Cropland compost</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Agr- forestry</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Riparian restoration</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Prescribed grazing</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Urban Forest</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Roadside forest buffers</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100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N fertilizer avoidance</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The nine sequestration practices become indices directly, expressed as thousands of new acres per year that incorporate one (or more) of the practices. </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The Pathways emission reduction modeling is based on CARB’s (California Air Resources Board) 2017 GHG inventory, which categorizes the state’s GHG emitters into the following sectors: Electricity Generation, Transportation, Industrial, Commercial, Residential, and Agricultural &amp; Forestry. Each sector is further broken down into line items.  The Pathways emissions reduction indices impact a varying number of line items in each sector.  Therefore, the model first groups each remaining inventory sector’s line items (activities) into sub-sectors: one or more groups for those line items impacted by an index, and one group for those not impacted. In the modeling algorithm, the impacted sub-sectors emissions are reduced each year over the 2020-2030 Climate Safe time horizon in a linear progression; the non-impacted sub-sectors are assumed to remain unchanged. </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All the Electricity Generation sector’s line items (and therefore the sector as a whole) are impacted directly by three indices: renewable electricity, efficiency, and solar PV.  The Electricity sector is indirectly impacted by EV adoption and building electrification indices, since they will cause new electricity demand.  </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The modeling of the first six emission reduction indices (VMT, EVs, electrification, renewable electricity, efficiency, solar PV) focuses on the energy carriers that will be impacted by the proposed changes.  Three major energy carriers - gasoline, natural gas, and electricity, will see the most significant impacts of the Climate Safe policy.  These three energy carriers are closely measured by the state, so we know both their usage and current (baseline) contributions to GHG emissions.  For gasoline and natural gas, the ratio of GHGs produced to mass consumed is known from combustion stoichiometry, so we can confidently predict future emissions when we model these carriers based on mass consumed.  For electricity, the calculation of GHG emissions is considerably more involved, as will be discussed below.</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These energy carriers also have interdependent relations, as more electricity will be needed to replace phased-out gasoline and natural gas.  The Pathways modeling makes a first pass at capturing these interdependencies at the energy-supply level, using published ratios for the amount of the preferred form of energy carrier (electricity) needed to serve the same purposes as the phased-out form (natural gas or gasoline).</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There are a number of key assumptions in our modeling approach:</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The same level of energy services (e.g. vehicle capacity and mobility, and building comfort) are maintained when substituting electricity for natural gas and gasoline.  For instance, we assume those who prefer large gasoline vehicles will trade them in for large EVs.</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The vast majority of gasoline is consumed by light vehicles (cars and pickup trucks) which are currently candidates for EV conversion (EV meaning battery-electric, not plug-in hybrids).  The Pathways model does include parameters that allow set-asides for off-road gasoline use, and on-road gasoline vehicles that have no EV substitute.</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We model gasoline sold as a stand-in for the number of gasoline vehicles remaining on the road.  The implication is that one new EV sold means one less gasoline car on the road, yielding a proportionate drop in gasoline demand (and emissions). However, there are at least two complicating factors:</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15000"/>
            </a:lnSpc>
            <a:spcBef>
              <a:spcPts val="0"/>
            </a:spcBef>
            <a:spcAft>
              <a:spcPts val="0"/>
            </a:spcAft>
            <a:buFont typeface="+mj-lt"/>
            <a:buAutoNum type="alphaLcPeriod"/>
          </a:pPr>
          <a:r>
            <a:rPr lang="en-US" sz="1000">
              <a:effectLst/>
              <a:latin typeface="Arial" panose="020B0604020202020204" pitchFamily="34" charset="0"/>
              <a:ea typeface="Calibri" panose="020F0502020204030204" pitchFamily="34" charset="0"/>
              <a:cs typeface="Times New Roman" panose="02020603050405020304" pitchFamily="18" charset="0"/>
            </a:rPr>
            <a:t>If buyers of new EVs would have otherwise purchased new fuel-efficient gasoline vehicles, the remaining gasoline vehicle fleet becomes, on average, less fuel efficient.  As a result, gasoline sales (and emissions) decline less than expected from vehicle sales.</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15000"/>
            </a:lnSpc>
            <a:spcBef>
              <a:spcPts val="0"/>
            </a:spcBef>
            <a:spcAft>
              <a:spcPts val="0"/>
            </a:spcAft>
            <a:buFont typeface="+mj-lt"/>
            <a:buAutoNum type="alphaLcPeriod"/>
          </a:pPr>
          <a:r>
            <a:rPr lang="en-US" sz="1000">
              <a:effectLst/>
              <a:latin typeface="Arial" panose="020B0604020202020204" pitchFamily="34" charset="0"/>
              <a:ea typeface="Calibri" panose="020F0502020204030204" pitchFamily="34" charset="0"/>
              <a:cs typeface="Times New Roman" panose="02020603050405020304" pitchFamily="18" charset="0"/>
            </a:rPr>
            <a:t>Any newer gasoline vehicles traded-in for EVs will likely remain in service to the end of their useful life and add to the number of active vehicles in the state (and total VMT).  This increase in active vehicles might keep gasoline demand higher than would be the case if the EVs only replaced gasoline vehicles headed for the junkyard. In other words, proposing that the rate of EV purchases be faster than the rate of gasoline vehicle retirement may not yield the hoped-for emissions reductions.</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All diesel fuel is consumed by heavy vehicles that will have no EV substitutes in the next ten years.  The implication is diesel fuel GHG emissions remain constant.  </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VMT reduction initiatives will only impact gasoline demand and its resulting On-Road emissions; the predominantly heavy vehicles using diesel fuel will not be affected.</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Gasoline demand will drop in direct proportion to VMT reduction.</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1000"/>
            </a:spcAft>
            <a:buFont typeface="+mj-lt"/>
            <a:buAutoNum type="arabicPeriod"/>
          </a:pPr>
          <a:r>
            <a:rPr lang="en-US" sz="1000">
              <a:effectLst/>
              <a:latin typeface="Arial" panose="020B0604020202020204" pitchFamily="34" charset="0"/>
              <a:ea typeface="Calibri" panose="020F0502020204030204" pitchFamily="34" charset="0"/>
              <a:cs typeface="Times New Roman" panose="02020603050405020304" pitchFamily="18" charset="0"/>
            </a:rPr>
            <a:t>Petroleum refinery processing GHG emissions (in the Industrial sector) will drop in proportion to the total transportation fuel (gasoline, diesel, and jet fuel) produced.  This could result from the complete closure of smaller refineries, or turndown of gasoline specific processing units at larger refineries. </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The Electricity sector is the most challenging to model for tracking flows and calculating GHG emissions.  First, it can be generated by consumers, for instance by installing solar PV.  Conversely, gasoline and natural gas move one-way from suppliers to consumers, and burned to release the energy (and GHG emissions).  Second, the amount of GHG emitted per kWh of electricity varies widely by the generation source; nominally zero for renewable electricity sources, to very high for coal powered generators.  Conversely, the amount of GHG emissions per mass of gasoline or natural gas burned is always the same, fixed by combustion stoichiometry. </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To address the complexity of characterizing electricity flows, we have adopted the state electricity administrators’ terminology (and baseline electricity data) to describe and predict these flows, as follows:</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Symbol" panose="05050102010706020507" pitchFamily="18" charset="2"/>
            <a:buChar char=""/>
          </a:pPr>
          <a:r>
            <a:rPr lang="en-US" sz="1000">
              <a:effectLst/>
              <a:latin typeface="Arial" panose="020B0604020202020204" pitchFamily="34" charset="0"/>
              <a:ea typeface="Calibri" panose="020F0502020204030204" pitchFamily="34" charset="0"/>
              <a:cs typeface="Times New Roman" panose="02020603050405020304" pitchFamily="18" charset="0"/>
            </a:rPr>
            <a:t>Consumption – all electricity used, whether it was sold to the consumer by the utility, or the consumer generated it themselves (through solar PV and cogeneration)</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Symbol" panose="05050102010706020507" pitchFamily="18" charset="2"/>
            <a:buChar char=""/>
          </a:pPr>
          <a:r>
            <a:rPr lang="en-US" sz="1000">
              <a:effectLst/>
              <a:latin typeface="Arial" panose="020B0604020202020204" pitchFamily="34" charset="0"/>
              <a:ea typeface="Calibri" panose="020F0502020204030204" pitchFamily="34" charset="0"/>
              <a:cs typeface="Times New Roman" panose="02020603050405020304" pitchFamily="18" charset="0"/>
            </a:rPr>
            <a:t>Self-generation – Produced by consumers who generate part or all of their own electricity, through solar PV or cogeneration.  This is tracked by the State.</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Symbol" panose="05050102010706020507" pitchFamily="18" charset="2"/>
            <a:buChar char=""/>
          </a:pPr>
          <a:r>
            <a:rPr lang="en-US" sz="1000">
              <a:effectLst/>
              <a:latin typeface="Arial" panose="020B0604020202020204" pitchFamily="34" charset="0"/>
              <a:ea typeface="Calibri" panose="020F0502020204030204" pitchFamily="34" charset="0"/>
              <a:cs typeface="Times New Roman" panose="02020603050405020304" pitchFamily="18" charset="0"/>
            </a:rPr>
            <a:t>“Behind the Meter” – All electricity related activity, initiated by the consumer, that has an impact on the demand the consumer will place on the utility.   </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Symbol" panose="05050102010706020507" pitchFamily="18" charset="2"/>
            <a:buChar char=""/>
          </a:pPr>
          <a:r>
            <a:rPr lang="en-US" sz="1000">
              <a:effectLst/>
              <a:latin typeface="Arial" panose="020B0604020202020204" pitchFamily="34" charset="0"/>
              <a:ea typeface="Calibri" panose="020F0502020204030204" pitchFamily="34" charset="0"/>
              <a:cs typeface="Times New Roman" panose="02020603050405020304" pitchFamily="18" charset="0"/>
            </a:rPr>
            <a:t>Line losses – The electrical energy lost (turned into heat) due to the resistance of conductors, transformers, etc. in distribution between the generation station and the consumer.</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1000"/>
            </a:spcAft>
            <a:buFont typeface="Symbol" panose="05050102010706020507" pitchFamily="18" charset="2"/>
            <a:buChar char=""/>
          </a:pPr>
          <a:r>
            <a:rPr lang="en-US" sz="1000">
              <a:effectLst/>
              <a:latin typeface="Arial" panose="020B0604020202020204" pitchFamily="34" charset="0"/>
              <a:ea typeface="Calibri" panose="020F0502020204030204" pitchFamily="34" charset="0"/>
              <a:cs typeface="Times New Roman" panose="02020603050405020304" pitchFamily="18" charset="0"/>
            </a:rPr>
            <a:t>Generation – the electrical energy leaving the utility power facility.</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Included in the model as Climate Safe indices are two significant “behind the meter” initiatives: 1) rooftop solar PV and 2) electrical energy efficiency.  For rooftop solar PV, the index is expressed as a percentage of an optimistic forecast by the State for 2030 adoption.  For electrical energy efficiency, the index is expressed as a percentage of the most aggressive statutory requirement for accelerated energy efficiency implementation. </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The future GHG emissions from utility electricity generation are modeled from two main impacts: 1) changes in utility energy demand caused by the Climate Safe initiatives; and 2) the progression of the utility generation mix toward renewable energy.  The latter impact is modeled using a GHG Emissions Intensity parameter (GHG emissions per unit of electrical energy) taking into account anticipated changes in generation during the Climate Safe time frame, and the index value set in the model for the 2030 renewable electricity content of the generation mix.</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The Industrial sector encompasses a wide variety of activities, which makes it difficult to describe specific actions to yield GHG reductions.  However, since the fossil fuels that drive industrial processes remain cheap and plentiful, we believe this sector contains significant opportunities to reduce fossil fuel demand (and resultant GHGs) through energy efficiency improvements.  In the Industrial emissions sector, most of the inventory line items are assumed to be amenable to significant energy efficiency improvements, resulting in less fossil fuel use, and a decline in GHG emissions.  We group these line items as a single emissions sub-sector and apply a percentage emissions reduction index to reflect the GHG reduction from reduced fossil fuel usage.</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In the Commercial and Residential sectors, a different approach was taken to identify the activities and emissions impacted by the only index for this sector: Building Electrification.  Building electrification is primarily the substitution of electrically driven heat pumps for space and water heating presently done with natural gas combustion.  The Commercial and Residential sectors were combined into one (Com’l + Res.) for the purpose of modeling, since they both comprise buildings amenable to electrification.  Published GHG emissions breakdowns from natural gas combustion and all other sources, along with natural gas usage breakdowns, enabled the division of Com’l + Res. into Natural Gas combustion emissions sub-sector (amenable to electrification) and Non-Gas emissions sub-sector (assumed to remain constant), for the purpose of modeling. </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For the Agricultural emissions sector, the only inventory line item chosen for potential emissions reduction was Manure Management.  The emissions reduction could be accomplished through more anaerobic digestion of manure collected from non-range-fed (eg, feedlot or penned) animals, and collecting the digester biogas for use.  We use an index to estimate the percentage emissions reduction available.</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Once all the above emission reduction strategies noted above are accounted for, we add up all the sub-sectors for an overall gross emissions estimate, based on the values set for indexes and other adjustable parameters.</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000">
              <a:effectLst/>
              <a:latin typeface="Arial" panose="020B0604020202020204" pitchFamily="34" charset="0"/>
              <a:ea typeface="Calibri" panose="020F0502020204030204" pitchFamily="34" charset="0"/>
              <a:cs typeface="Times New Roman" panose="02020603050405020304" pitchFamily="18" charset="0"/>
            </a:rPr>
            <a:t>The final section of the Pathways model is working lands carbon sequestration, as described above.  The resulting atmospheric carbon dioxide sequestered as soil carbon is deducted from the gross emissions, resulting in a net GHG emissions that reflects the overall impact of all the Climate Safe initiatives.</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Excel Workbook Graphics Summary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15000"/>
            </a:lnSpc>
            <a:spcBef>
              <a:spcPts val="0"/>
            </a:spcBef>
            <a:spcAft>
              <a:spcPts val="1000"/>
            </a:spcAft>
          </a:pPr>
          <a:r>
            <a:rPr lang="en-US" sz="1000">
              <a:solidFill>
                <a:schemeClr val="dk1"/>
              </a:solidFill>
              <a:effectLst/>
              <a:latin typeface="Arial" panose="020B0604020202020204" pitchFamily="34" charset="0"/>
              <a:ea typeface="Calibri" panose="020F0502020204030204" pitchFamily="34" charset="0"/>
              <a:cs typeface="Times New Roman" panose="02020603050405020304" pitchFamily="18" charset="0"/>
            </a:rPr>
            <a:t>For visualization of the modeling results, a number of stacked bar charts showing the following GHG impacts are included:</a:t>
          </a:r>
        </a:p>
        <a:p>
          <a:pPr marL="457200" marR="0" lvl="1" indent="0">
            <a:lnSpc>
              <a:spcPct val="115000"/>
            </a:lnSpc>
            <a:spcBef>
              <a:spcPts val="0"/>
            </a:spcBef>
            <a:spcAft>
              <a:spcPts val="1000"/>
            </a:spcAft>
            <a:buFont typeface="+mj-lt"/>
            <a:buAutoNum type="arabicPeriod"/>
          </a:pPr>
          <a:r>
            <a:rPr lang="en-US" sz="1000">
              <a:solidFill>
                <a:schemeClr val="dk1"/>
              </a:solidFill>
              <a:effectLst/>
              <a:latin typeface="Arial" panose="020B0604020202020204" pitchFamily="34" charset="0"/>
              <a:ea typeface="Calibri" panose="020F0502020204030204" pitchFamily="34" charset="0"/>
              <a:cs typeface="Times New Roman" panose="02020603050405020304" pitchFamily="18" charset="0"/>
            </a:rPr>
            <a:t>VMT reduction and EV conversion – includes key impacts in non-transportation sectors;</a:t>
          </a:r>
        </a:p>
        <a:p>
          <a:pPr marL="457200" marR="0" lvl="1" indent="0">
            <a:lnSpc>
              <a:spcPct val="115000"/>
            </a:lnSpc>
            <a:spcBef>
              <a:spcPts val="0"/>
            </a:spcBef>
            <a:spcAft>
              <a:spcPts val="1000"/>
            </a:spcAft>
            <a:buFont typeface="+mj-lt"/>
            <a:buAutoNum type="arabicPeriod"/>
          </a:pPr>
          <a:r>
            <a:rPr lang="en-US" sz="1000">
              <a:solidFill>
                <a:schemeClr val="dk1"/>
              </a:solidFill>
              <a:effectLst/>
              <a:latin typeface="Arial" panose="020B0604020202020204" pitchFamily="34" charset="0"/>
              <a:ea typeface="Calibri" panose="020F0502020204030204" pitchFamily="34" charset="0"/>
              <a:cs typeface="Times New Roman" panose="02020603050405020304" pitchFamily="18" charset="0"/>
            </a:rPr>
            <a:t>Building electrification – includes refrigeration leakage, plus cross-sector impacts from natural gas leakage and added electricity demand;</a:t>
          </a:r>
        </a:p>
        <a:p>
          <a:pPr marL="457200" marR="0" lvl="1" indent="0">
            <a:lnSpc>
              <a:spcPct val="115000"/>
            </a:lnSpc>
            <a:spcBef>
              <a:spcPts val="0"/>
            </a:spcBef>
            <a:spcAft>
              <a:spcPts val="1000"/>
            </a:spcAft>
            <a:buFont typeface="+mj-lt"/>
            <a:buAutoNum type="arabicPeriod"/>
          </a:pPr>
          <a:r>
            <a:rPr lang="en-US" sz="1000">
              <a:solidFill>
                <a:schemeClr val="dk1"/>
              </a:solidFill>
              <a:effectLst/>
              <a:latin typeface="Arial" panose="020B0604020202020204" pitchFamily="34" charset="0"/>
              <a:ea typeface="Calibri" panose="020F0502020204030204" pitchFamily="34" charset="0"/>
              <a:cs typeface="Times New Roman" panose="02020603050405020304" pitchFamily="18" charset="0"/>
            </a:rPr>
            <a:t>Electricity sector, breaking out solar PV, energy efficiency, electrification, and EV charging impacts;</a:t>
          </a:r>
        </a:p>
        <a:p>
          <a:pPr marL="457200" marR="0" lvl="1" indent="0">
            <a:lnSpc>
              <a:spcPct val="115000"/>
            </a:lnSpc>
            <a:spcBef>
              <a:spcPts val="0"/>
            </a:spcBef>
            <a:spcAft>
              <a:spcPts val="1000"/>
            </a:spcAft>
            <a:buFont typeface="+mj-lt"/>
            <a:buAutoNum type="arabicPeriod"/>
          </a:pPr>
          <a:r>
            <a:rPr lang="en-US" sz="1000">
              <a:solidFill>
                <a:schemeClr val="dk1"/>
              </a:solidFill>
              <a:effectLst/>
              <a:latin typeface="Arial" panose="020B0604020202020204" pitchFamily="34" charset="0"/>
              <a:ea typeface="Calibri" panose="020F0502020204030204" pitchFamily="34" charset="0"/>
              <a:cs typeface="Times New Roman" panose="02020603050405020304" pitchFamily="18" charset="0"/>
            </a:rPr>
            <a:t>Industrial Energy Efficiency and Agricultural Manure Management are combined;</a:t>
          </a:r>
        </a:p>
        <a:p>
          <a:pPr marL="457200" marR="0" lvl="1" indent="0">
            <a:lnSpc>
              <a:spcPct val="115000"/>
            </a:lnSpc>
            <a:spcBef>
              <a:spcPts val="0"/>
            </a:spcBef>
            <a:spcAft>
              <a:spcPts val="1000"/>
            </a:spcAft>
            <a:buFont typeface="+mj-lt"/>
            <a:buAutoNum type="arabicPeriod"/>
          </a:pPr>
          <a:r>
            <a:rPr lang="en-US" sz="1000">
              <a:solidFill>
                <a:schemeClr val="dk1"/>
              </a:solidFill>
              <a:effectLst/>
              <a:latin typeface="Arial" panose="020B0604020202020204" pitchFamily="34" charset="0"/>
              <a:ea typeface="Calibri" panose="020F0502020204030204" pitchFamily="34" charset="0"/>
              <a:cs typeface="Times New Roman" panose="02020603050405020304" pitchFamily="18" charset="0"/>
            </a:rPr>
            <a:t>All Pathways sub-sector emissions, along with the indices, show the comprehensive Climate Safe emissions reduction impact;</a:t>
          </a:r>
        </a:p>
        <a:p>
          <a:pPr marL="457200" marR="0" lvl="1" indent="0">
            <a:lnSpc>
              <a:spcPct val="115000"/>
            </a:lnSpc>
            <a:spcBef>
              <a:spcPts val="0"/>
            </a:spcBef>
            <a:spcAft>
              <a:spcPts val="1000"/>
            </a:spcAft>
            <a:buFont typeface="+mj-lt"/>
            <a:buAutoNum type="arabicPeriod"/>
          </a:pPr>
          <a:r>
            <a:rPr lang="en-US" sz="1000">
              <a:solidFill>
                <a:schemeClr val="dk1"/>
              </a:solidFill>
              <a:effectLst/>
              <a:latin typeface="Arial" panose="020B0604020202020204" pitchFamily="34" charset="0"/>
              <a:ea typeface="Calibri" panose="020F0502020204030204" pitchFamily="34" charset="0"/>
              <a:cs typeface="Times New Roman" panose="02020603050405020304" pitchFamily="18" charset="0"/>
            </a:rPr>
            <a:t>Sequestration, showing the relative impacts of each practice;</a:t>
          </a:r>
        </a:p>
        <a:p>
          <a:pPr marL="457200" marR="0" lvl="1" indent="0">
            <a:lnSpc>
              <a:spcPct val="115000"/>
            </a:lnSpc>
            <a:spcBef>
              <a:spcPts val="0"/>
            </a:spcBef>
            <a:spcAft>
              <a:spcPts val="1000"/>
            </a:spcAft>
            <a:buFont typeface="+mj-lt"/>
            <a:buAutoNum type="arabicPeriod"/>
          </a:pPr>
          <a:r>
            <a:rPr lang="en-US" sz="1000">
              <a:solidFill>
                <a:schemeClr val="dk1"/>
              </a:solidFill>
              <a:effectLst/>
              <a:latin typeface="Arial" panose="020B0604020202020204" pitchFamily="34" charset="0"/>
              <a:ea typeface="Calibri" panose="020F0502020204030204" pitchFamily="34" charset="0"/>
              <a:cs typeface="Times New Roman" panose="02020603050405020304" pitchFamily="18" charset="0"/>
            </a:rPr>
            <a:t>Total emissions are re-combined as inventory sectors, total sequestration, and resultant net emissions.</a:t>
          </a:r>
        </a:p>
        <a:p>
          <a:pPr marL="0" marR="0" indent="0">
            <a:lnSpc>
              <a:spcPct val="115000"/>
            </a:lnSpc>
            <a:spcBef>
              <a:spcPts val="0"/>
            </a:spcBef>
            <a:spcAft>
              <a:spcPts val="1000"/>
            </a:spcAft>
          </a:pPr>
          <a:r>
            <a:rPr lang="en-US" sz="1000">
              <a:solidFill>
                <a:schemeClr val="dk1"/>
              </a:solidFill>
              <a:effectLst/>
              <a:latin typeface="Arial" panose="020B0604020202020204" pitchFamily="34" charset="0"/>
              <a:ea typeface="Calibri" panose="020F0502020204030204" pitchFamily="34" charset="0"/>
              <a:cs typeface="Times New Roman" panose="02020603050405020304" pitchFamily="18" charset="0"/>
            </a:rPr>
            <a:t>These charts are fully dynamic; they will change as the values of the indices (in red) in the Pathways tab model are adjusted, and the model itself re-calculates.</a:t>
          </a:r>
        </a:p>
        <a:p>
          <a:pPr marL="0" marR="0" indent="0">
            <a:lnSpc>
              <a:spcPct val="115000"/>
            </a:lnSpc>
            <a:spcBef>
              <a:spcPts val="0"/>
            </a:spcBef>
            <a:spcAft>
              <a:spcPts val="1000"/>
            </a:spcAft>
          </a:pPr>
          <a:r>
            <a:rPr lang="en-US" sz="1000">
              <a:solidFill>
                <a:schemeClr val="dk1"/>
              </a:solidFill>
              <a:effectLst/>
              <a:latin typeface="Arial" panose="020B0604020202020204" pitchFamily="34" charset="0"/>
              <a:ea typeface="Calibri" panose="020F0502020204030204" pitchFamily="34" charset="0"/>
              <a:cs typeface="Times New Roman" panose="02020603050405020304" pitchFamily="18" charset="0"/>
            </a:rPr>
            <a:t>The intent of the first three charts is to isolate the 2030 emissions impacts of the indices in focus (shown at the top), and incorporate resultant cross-sector emissions losses or gains.  Impacts of other indices are “locked out”, so these chart values change only as the indices in focus change.  </a:t>
          </a:r>
        </a:p>
        <a:p>
          <a:pPr marL="0" marR="0" indent="0">
            <a:lnSpc>
              <a:spcPct val="115000"/>
            </a:lnSpc>
            <a:spcBef>
              <a:spcPts val="0"/>
            </a:spcBef>
            <a:spcAft>
              <a:spcPts val="1000"/>
            </a:spcAft>
          </a:pPr>
          <a:r>
            <a:rPr lang="en-US" sz="1000">
              <a:solidFill>
                <a:schemeClr val="dk1"/>
              </a:solidFill>
              <a:effectLst/>
              <a:latin typeface="Arial" panose="020B0604020202020204" pitchFamily="34" charset="0"/>
              <a:ea typeface="Calibri" panose="020F0502020204030204" pitchFamily="34" charset="0"/>
              <a:cs typeface="Times New Roman" panose="02020603050405020304" pitchFamily="18" charset="0"/>
            </a:rPr>
            <a:t>For instance, the VMT Reduction and EV conversion chart (EV VMT Chart tab) calculates 2030 EV charging emissions using the 2017 (baseline) electricity emissions intensity.  In that way, the EV electricity emissions won’t fluctuate as the unrelated 2030 renewable energy electricity content index is changed.  Conversely, we note that the subsequent summary emissions charts, the EV charging emissions will use the 2030 renewable electricity content, and the resulting lower emissions.  The separate emissions impact of EV or VMT indices can be observed by setting one of the indices to zero in the Pathways Model tab and changing the other.</a:t>
          </a:r>
        </a:p>
        <a:p>
          <a:pPr marL="0" marR="0" indent="0">
            <a:lnSpc>
              <a:spcPct val="115000"/>
            </a:lnSpc>
            <a:spcBef>
              <a:spcPts val="0"/>
            </a:spcBef>
            <a:spcAft>
              <a:spcPts val="1000"/>
            </a:spcAft>
          </a:pPr>
          <a:r>
            <a:rPr lang="en-US" sz="1000">
              <a:solidFill>
                <a:schemeClr val="dk1"/>
              </a:solidFill>
              <a:effectLst/>
              <a:latin typeface="Arial" panose="020B0604020202020204" pitchFamily="34" charset="0"/>
              <a:ea typeface="Calibri" panose="020F0502020204030204" pitchFamily="34" charset="0"/>
              <a:cs typeface="Times New Roman" panose="02020603050405020304" pitchFamily="18" charset="0"/>
            </a:rPr>
            <a:t>The Building Electrification chart (Bldgs Gas-&gt;Elec Chart) shows significant net reductions from electrification, even when taking into account new electricity demand and refrigerant leakage emissions.</a:t>
          </a:r>
        </a:p>
        <a:p>
          <a:pPr marL="0" marR="0" indent="0">
            <a:lnSpc>
              <a:spcPct val="115000"/>
            </a:lnSpc>
            <a:spcBef>
              <a:spcPts val="0"/>
            </a:spcBef>
            <a:spcAft>
              <a:spcPts val="1000"/>
            </a:spcAft>
          </a:pPr>
          <a:r>
            <a:rPr lang="en-US" sz="1000">
              <a:solidFill>
                <a:schemeClr val="dk1"/>
              </a:solidFill>
              <a:effectLst/>
              <a:latin typeface="Arial" panose="020B0604020202020204" pitchFamily="34" charset="0"/>
              <a:ea typeface="Calibri" panose="020F0502020204030204" pitchFamily="34" charset="0"/>
              <a:cs typeface="Times New Roman" panose="02020603050405020304" pitchFamily="18" charset="0"/>
            </a:rPr>
            <a:t>The Electricity Sector Chart shows the combined effect of the five indices that impact electricity emissions: renewable content, EV charging, building electrification, energy efficiency, and solar PV.  It breaks the 2030 emissions changes down by their indexed components.  PV, Energy Efficiency and Renewable Generation effects are shown below the zero line, as their effect is to reduce emissions.  Building Electrification and EV adoption are above the zero line, as they increase generation demand and emissions.</a:t>
          </a:r>
        </a:p>
        <a:p>
          <a:pPr marL="0" marR="0" indent="0">
            <a:lnSpc>
              <a:spcPct val="115000"/>
            </a:lnSpc>
            <a:spcBef>
              <a:spcPts val="0"/>
            </a:spcBef>
            <a:spcAft>
              <a:spcPts val="1000"/>
            </a:spcAft>
          </a:pPr>
          <a:r>
            <a:rPr lang="en-US" sz="1000">
              <a:solidFill>
                <a:schemeClr val="dk1"/>
              </a:solidFill>
              <a:effectLst/>
              <a:latin typeface="Arial" panose="020B0604020202020204" pitchFamily="34" charset="0"/>
              <a:ea typeface="Calibri" panose="020F0502020204030204" pitchFamily="34" charset="0"/>
              <a:cs typeface="Times New Roman" panose="02020603050405020304" pitchFamily="18" charset="0"/>
            </a:rPr>
            <a:t>The effects of emissions reductions for those line items in the Industrial sector deemed amenable to energy efficiency improvements, along with improved manure management, are shown in the “Ind EE Ag Manure Chart” tab.</a:t>
          </a:r>
        </a:p>
        <a:p>
          <a:pPr marL="0" marR="0" indent="0">
            <a:lnSpc>
              <a:spcPct val="115000"/>
            </a:lnSpc>
            <a:spcBef>
              <a:spcPts val="0"/>
            </a:spcBef>
            <a:spcAft>
              <a:spcPts val="1000"/>
            </a:spcAft>
          </a:pPr>
          <a:r>
            <a:rPr lang="en-US" sz="1000">
              <a:solidFill>
                <a:schemeClr val="dk1"/>
              </a:solidFill>
              <a:effectLst/>
              <a:latin typeface="Arial" panose="020B0604020202020204" pitchFamily="34" charset="0"/>
              <a:ea typeface="Calibri" panose="020F0502020204030204" pitchFamily="34" charset="0"/>
              <a:cs typeface="Times New Roman" panose="02020603050405020304" pitchFamily="18" charset="0"/>
            </a:rPr>
            <a:t>In the “Pathways Emissions Summary Chart” tab, all the sub-sectors are displayed to show the combined effect of all the indices, whose values are shown on the left side for reference.  The color choice for the bars is intended to keep consistency with the sector colors chosen previously.  The sub-sectors with the fade effect are those whose emissions are subject to reduction by one or more of the indices; the solid color sub-sectors are not affected and remain constant.  The total of all sub-sectors is displayed above each of the bars.</a:t>
          </a:r>
        </a:p>
        <a:p>
          <a:pPr marL="0" marR="0" indent="0">
            <a:lnSpc>
              <a:spcPct val="115000"/>
            </a:lnSpc>
            <a:spcBef>
              <a:spcPts val="0"/>
            </a:spcBef>
            <a:spcAft>
              <a:spcPts val="1000"/>
            </a:spcAft>
          </a:pPr>
          <a:r>
            <a:rPr lang="en-US" sz="1000">
              <a:solidFill>
                <a:schemeClr val="dk1"/>
              </a:solidFill>
              <a:effectLst/>
              <a:latin typeface="Arial" panose="020B0604020202020204" pitchFamily="34" charset="0"/>
              <a:ea typeface="Calibri" panose="020F0502020204030204" pitchFamily="34" charset="0"/>
              <a:cs typeface="Times New Roman" panose="02020603050405020304" pitchFamily="18" charset="0"/>
            </a:rPr>
            <a:t>The “Sequestration Chart” tab displays the emissions sequestration contributions of each of the nine practices, whose parameters are listed on the left.</a:t>
          </a:r>
        </a:p>
        <a:p>
          <a:pPr marL="0" marR="0" indent="0">
            <a:lnSpc>
              <a:spcPct val="115000"/>
            </a:lnSpc>
            <a:spcBef>
              <a:spcPts val="0"/>
            </a:spcBef>
            <a:spcAft>
              <a:spcPts val="1000"/>
            </a:spcAft>
          </a:pPr>
          <a:r>
            <a:rPr lang="en-US" sz="1000">
              <a:solidFill>
                <a:schemeClr val="dk1"/>
              </a:solidFill>
              <a:effectLst/>
              <a:latin typeface="Arial" panose="020B0604020202020204" pitchFamily="34" charset="0"/>
              <a:ea typeface="Calibri" panose="020F0502020204030204" pitchFamily="34" charset="0"/>
              <a:cs typeface="Times New Roman" panose="02020603050405020304" pitchFamily="18" charset="0"/>
            </a:rPr>
            <a:t>Finally, the “Sectors Net Emissions Chart” tab pulls all the sub-sectors back into their respective sectors, to display the overall impact of the emission reduction indices and sequestration practices, and the resultant net emissions.</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10585</xdr:colOff>
      <xdr:row>0</xdr:row>
      <xdr:rowOff>179917</xdr:rowOff>
    </xdr:from>
    <xdr:to>
      <xdr:col>12</xdr:col>
      <xdr:colOff>264584</xdr:colOff>
      <xdr:row>8</xdr:row>
      <xdr:rowOff>179917</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006168" y="179917"/>
          <a:ext cx="2116666" cy="15240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purpose of these calculations are to compare the GHG</a:t>
          </a:r>
          <a:r>
            <a:rPr lang="en-US" sz="1100" baseline="0"/>
            <a:t> emissions from gasoline sales with the total On-Road emissions from the state inventory.  The higher On-Road emissions is assumed to be mainly from additional diesel fueled vehicles.  </a:t>
          </a:r>
          <a:endParaRPr lang="en-US" sz="1100"/>
        </a:p>
      </xdr:txBody>
    </xdr:sp>
    <xdr:clientData/>
  </xdr:twoCellAnchor>
  <xdr:twoCellAnchor>
    <xdr:from>
      <xdr:col>11</xdr:col>
      <xdr:colOff>10583</xdr:colOff>
      <xdr:row>10</xdr:row>
      <xdr:rowOff>190499</xdr:rowOff>
    </xdr:from>
    <xdr:to>
      <xdr:col>13</xdr:col>
      <xdr:colOff>603250</xdr:colOff>
      <xdr:row>17</xdr:row>
      <xdr:rowOff>10583</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8339666" y="2095499"/>
          <a:ext cx="1820334" cy="115358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Develop the units conversion that translates the thermal energy in gasoline to the energy in electricity units for use in the</a:t>
          </a:r>
          <a:r>
            <a:rPr lang="en-US" sz="1100" baseline="0">
              <a:solidFill>
                <a:schemeClr val="dk1"/>
              </a:solidFill>
              <a:latin typeface="+mn-lt"/>
              <a:ea typeface="+mn-ea"/>
              <a:cs typeface="+mn-cs"/>
            </a:rPr>
            <a:t> model</a:t>
          </a:r>
          <a:r>
            <a:rPr lang="en-US" sz="1100">
              <a:solidFill>
                <a:schemeClr val="dk1"/>
              </a:solidFill>
              <a:latin typeface="+mn-lt"/>
              <a:ea typeface="+mn-ea"/>
              <a:cs typeface="+mn-cs"/>
            </a:rPr>
            <a:t>.</a:t>
          </a:r>
        </a:p>
      </xdr:txBody>
    </xdr:sp>
    <xdr:clientData/>
  </xdr:twoCellAnchor>
  <xdr:twoCellAnchor>
    <xdr:from>
      <xdr:col>5</xdr:col>
      <xdr:colOff>603250</xdr:colOff>
      <xdr:row>16</xdr:row>
      <xdr:rowOff>137583</xdr:rowOff>
    </xdr:from>
    <xdr:to>
      <xdr:col>9</xdr:col>
      <xdr:colOff>518584</xdr:colOff>
      <xdr:row>26</xdr:row>
      <xdr:rowOff>10583</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5143500" y="3185583"/>
          <a:ext cx="2370667" cy="17780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First sum the GHG contributions of each combustion product of natural gas to get overall GHG Intensity Factor.  Convert Intensity to units needed in model.  Calculate GHG emissions assuming all statewide natural gas combusted, to compare with state inventory natural gas GHG data.</a:t>
          </a:r>
        </a:p>
      </xdr:txBody>
    </xdr:sp>
    <xdr:clientData/>
  </xdr:twoCellAnchor>
  <xdr:twoCellAnchor>
    <xdr:from>
      <xdr:col>6</xdr:col>
      <xdr:colOff>21167</xdr:colOff>
      <xdr:row>27</xdr:row>
      <xdr:rowOff>21167</xdr:rowOff>
    </xdr:from>
    <xdr:to>
      <xdr:col>8</xdr:col>
      <xdr:colOff>412750</xdr:colOff>
      <xdr:row>38</xdr:row>
      <xdr:rowOff>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5175250" y="5164667"/>
          <a:ext cx="1619250" cy="207433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Calculate the density of natural gas at "standard conditions" (the temperature and pressure that define a "standard cubic foot [scf])", the measure of natural gas quantity.  Convert into units that will be needed for the model.</a:t>
          </a:r>
        </a:p>
      </xdr:txBody>
    </xdr:sp>
    <xdr:clientData/>
  </xdr:twoCellAnchor>
  <xdr:twoCellAnchor>
    <xdr:from>
      <xdr:col>4</xdr:col>
      <xdr:colOff>0</xdr:colOff>
      <xdr:row>39</xdr:row>
      <xdr:rowOff>179917</xdr:rowOff>
    </xdr:from>
    <xdr:to>
      <xdr:col>7</xdr:col>
      <xdr:colOff>21166</xdr:colOff>
      <xdr:row>45</xdr:row>
      <xdr:rowOff>169333</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3926417" y="7609417"/>
          <a:ext cx="1862666" cy="113241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Take the energy content from natural gas combustion, and generate a units conversion factor will express it in electrical energy terms (watt-hours).</a:t>
          </a:r>
        </a:p>
      </xdr:txBody>
    </xdr:sp>
    <xdr:clientData/>
  </xdr:twoCellAnchor>
  <xdr:twoCellAnchor>
    <xdr:from>
      <xdr:col>5</xdr:col>
      <xdr:colOff>253999</xdr:colOff>
      <xdr:row>47</xdr:row>
      <xdr:rowOff>10583</xdr:rowOff>
    </xdr:from>
    <xdr:to>
      <xdr:col>8</xdr:col>
      <xdr:colOff>550332</xdr:colOff>
      <xdr:row>54</xdr:row>
      <xdr:rowOff>179917</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4794249" y="8964083"/>
          <a:ext cx="2137833" cy="150283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A reality check on how much new electricity would be needed to provide the energy services of all commercial and residential natural gas demand.  Assumes all this gas usage is for heating, and electrically driven heat pumps can be a substitute.</a:t>
          </a:r>
        </a:p>
      </xdr:txBody>
    </xdr:sp>
    <xdr:clientData/>
  </xdr:twoCellAnchor>
  <xdr:twoCellAnchor>
    <xdr:from>
      <xdr:col>4</xdr:col>
      <xdr:colOff>0</xdr:colOff>
      <xdr:row>58</xdr:row>
      <xdr:rowOff>190499</xdr:rowOff>
    </xdr:from>
    <xdr:to>
      <xdr:col>7</xdr:col>
      <xdr:colOff>296333</xdr:colOff>
      <xdr:row>69</xdr:row>
      <xdr:rowOff>52916</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26417" y="11239499"/>
          <a:ext cx="2137833" cy="19579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Heat</a:t>
          </a:r>
          <a:r>
            <a:rPr lang="en-US" sz="1100" baseline="0">
              <a:solidFill>
                <a:schemeClr val="dk1"/>
              </a:solidFill>
              <a:latin typeface="+mn-lt"/>
              <a:ea typeface="+mn-ea"/>
              <a:cs typeface="+mn-cs"/>
            </a:rPr>
            <a:t> pumps have a climate downside in that their refrigerants are high potency GHGs, if they leak into the atmosphere.  Based on an estimate made in the literature, we develop a conversion factor that estimates the GHG impact of this leakage based on the power demand of all new heat pumps.</a:t>
          </a:r>
          <a:endParaRPr lang="en-US" sz="1100">
            <a:solidFill>
              <a:schemeClr val="dk1"/>
            </a:solidFill>
            <a:latin typeface="+mn-lt"/>
            <a:ea typeface="+mn-ea"/>
            <a:cs typeface="+mn-cs"/>
          </a:endParaRPr>
        </a:p>
      </xdr:txBody>
    </xdr:sp>
    <xdr:clientData/>
  </xdr:twoCellAnchor>
  <xdr:twoCellAnchor>
    <xdr:from>
      <xdr:col>8</xdr:col>
      <xdr:colOff>0</xdr:colOff>
      <xdr:row>76</xdr:row>
      <xdr:rowOff>0</xdr:rowOff>
    </xdr:from>
    <xdr:to>
      <xdr:col>11</xdr:col>
      <xdr:colOff>275166</xdr:colOff>
      <xdr:row>85</xdr:row>
      <xdr:rowOff>158750</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6381750" y="14478000"/>
          <a:ext cx="2137833" cy="187325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Here we validate our our calculations</a:t>
          </a:r>
          <a:r>
            <a:rPr lang="en-US" sz="1100" baseline="0">
              <a:solidFill>
                <a:schemeClr val="dk1"/>
              </a:solidFill>
              <a:latin typeface="+mn-lt"/>
              <a:ea typeface="+mn-ea"/>
              <a:cs typeface="+mn-cs"/>
            </a:rPr>
            <a:t> of natural gas usage, GHG intensity, and fraction of commercial and residential natural gas demand, against the 2017 statewide inventory GHG emissions for commercial and residential natural gas usage.  The two methods produce virtually identical results.</a:t>
          </a:r>
          <a:endParaRPr lang="en-US" sz="1100">
            <a:solidFill>
              <a:schemeClr val="dk1"/>
            </a:solidFill>
            <a:latin typeface="+mn-lt"/>
            <a:ea typeface="+mn-ea"/>
            <a:cs typeface="+mn-cs"/>
          </a:endParaRPr>
        </a:p>
      </xdr:txBody>
    </xdr:sp>
    <xdr:clientData/>
  </xdr:twoCellAnchor>
  <xdr:twoCellAnchor>
    <xdr:from>
      <xdr:col>5</xdr:col>
      <xdr:colOff>0</xdr:colOff>
      <xdr:row>88</xdr:row>
      <xdr:rowOff>190499</xdr:rowOff>
    </xdr:from>
    <xdr:to>
      <xdr:col>8</xdr:col>
      <xdr:colOff>296333</xdr:colOff>
      <xdr:row>100</xdr:row>
      <xdr:rowOff>84666</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4624917" y="16954499"/>
          <a:ext cx="2137833" cy="2180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Here we take</a:t>
          </a:r>
          <a:r>
            <a:rPr lang="en-US" sz="1100" baseline="0">
              <a:solidFill>
                <a:schemeClr val="dk1"/>
              </a:solidFill>
              <a:latin typeface="+mn-lt"/>
              <a:ea typeface="+mn-ea"/>
              <a:cs typeface="+mn-cs"/>
            </a:rPr>
            <a:t> the State's estimate of new solar photovoltaic capacity to get a baseline install rate, that can then be used as a Climate Safe index where 100% = baseline.  Also the Annual Capacity Hours value allows us to convert the rated peak PV capacity (what an installation produces with direct sunlight) to annual total energy production, allowing for night, clouds, etc.</a:t>
          </a:r>
          <a:endParaRPr lang="en-US" sz="1100">
            <a:solidFill>
              <a:schemeClr val="dk1"/>
            </a:solidFill>
            <a:latin typeface="+mn-lt"/>
            <a:ea typeface="+mn-ea"/>
            <a:cs typeface="+mn-cs"/>
          </a:endParaRPr>
        </a:p>
      </xdr:txBody>
    </xdr:sp>
    <xdr:clientData/>
  </xdr:twoCellAnchor>
  <xdr:twoCellAnchor>
    <xdr:from>
      <xdr:col>5</xdr:col>
      <xdr:colOff>148167</xdr:colOff>
      <xdr:row>101</xdr:row>
      <xdr:rowOff>179916</xdr:rowOff>
    </xdr:from>
    <xdr:to>
      <xdr:col>11</xdr:col>
      <xdr:colOff>148167</xdr:colOff>
      <xdr:row>106</xdr:row>
      <xdr:rowOff>158749</xdr:rowOff>
    </xdr:to>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4773084" y="19420416"/>
          <a:ext cx="3704166" cy="93133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The State has mandated</a:t>
          </a:r>
          <a:r>
            <a:rPr lang="en-US" sz="1100" baseline="0">
              <a:solidFill>
                <a:schemeClr val="dk1"/>
              </a:solidFill>
              <a:latin typeface="+mn-lt"/>
              <a:ea typeface="+mn-ea"/>
              <a:cs typeface="+mn-cs"/>
            </a:rPr>
            <a:t> accelerated electrical energy efficiency through its utility sponsored programs.  SB 350 defines a baseline "new efficiency" implementation rate that we use to define a Climate Safe index, where 100% = the SB350 mandate.</a:t>
          </a:r>
          <a:endParaRPr lang="en-US" sz="1100">
            <a:solidFill>
              <a:schemeClr val="dk1"/>
            </a:solidFill>
            <a:latin typeface="+mn-lt"/>
            <a:ea typeface="+mn-ea"/>
            <a:cs typeface="+mn-cs"/>
          </a:endParaRPr>
        </a:p>
      </xdr:txBody>
    </xdr:sp>
    <xdr:clientData/>
  </xdr:twoCellAnchor>
  <xdr:twoCellAnchor>
    <xdr:from>
      <xdr:col>9</xdr:col>
      <xdr:colOff>127000</xdr:colOff>
      <xdr:row>113</xdr:row>
      <xdr:rowOff>63500</xdr:rowOff>
    </xdr:from>
    <xdr:to>
      <xdr:col>12</xdr:col>
      <xdr:colOff>402166</xdr:colOff>
      <xdr:row>124</xdr:row>
      <xdr:rowOff>0</xdr:rowOff>
    </xdr:to>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207250" y="21590000"/>
          <a:ext cx="2137833" cy="20320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GHG emissions intensity from electricity generation is ever changing,</a:t>
          </a:r>
          <a:r>
            <a:rPr lang="en-US" sz="1100" baseline="0">
              <a:solidFill>
                <a:schemeClr val="dk1"/>
              </a:solidFill>
              <a:latin typeface="+mn-lt"/>
              <a:ea typeface="+mn-ea"/>
              <a:cs typeface="+mn-cs"/>
            </a:rPr>
            <a:t> as mandates require more renewable power.  The purpose of this sub-model is to allow an accelerated adoption of renewable generation as a Climate Safe index.  Robert Freehling, a Climate Center consultant, provided the guidance to build this sub-model.  </a:t>
          </a:r>
          <a:r>
            <a:rPr lang="en-US" sz="1100">
              <a:solidFill>
                <a:schemeClr val="dk1"/>
              </a:solidFill>
              <a:latin typeface="+mn-lt"/>
              <a:ea typeface="+mn-ea"/>
              <a:cs typeface="+mn-cs"/>
            </a:rPr>
            <a:t>  </a:t>
          </a:r>
        </a:p>
      </xdr:txBody>
    </xdr:sp>
    <xdr:clientData/>
  </xdr:twoCellAnchor>
  <xdr:twoCellAnchor>
    <xdr:from>
      <xdr:col>5</xdr:col>
      <xdr:colOff>529167</xdr:colOff>
      <xdr:row>136</xdr:row>
      <xdr:rowOff>179917</xdr:rowOff>
    </xdr:from>
    <xdr:to>
      <xdr:col>9</xdr:col>
      <xdr:colOff>211667</xdr:colOff>
      <xdr:row>141</xdr:row>
      <xdr:rowOff>21167</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5154084" y="26087917"/>
          <a:ext cx="2137833" cy="79375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Calculate utility line losses as a percentage of utilit</a:t>
          </a:r>
          <a:r>
            <a:rPr lang="en-US" sz="1100" baseline="0">
              <a:solidFill>
                <a:schemeClr val="dk1"/>
              </a:solidFill>
              <a:latin typeface="+mn-lt"/>
              <a:ea typeface="+mn-ea"/>
              <a:cs typeface="+mn-cs"/>
            </a:rPr>
            <a:t>y generation for subsequent use in the Pathways model.</a:t>
          </a:r>
          <a:endParaRPr lang="en-US" sz="1100">
            <a:solidFill>
              <a:schemeClr val="dk1"/>
            </a:solidFill>
            <a:latin typeface="+mn-lt"/>
            <a:ea typeface="+mn-ea"/>
            <a:cs typeface="+mn-cs"/>
          </a:endParaRPr>
        </a:p>
      </xdr:txBody>
    </xdr:sp>
    <xdr:clientData/>
  </xdr:twoCellAnchor>
  <xdr:twoCellAnchor>
    <xdr:from>
      <xdr:col>7</xdr:col>
      <xdr:colOff>317501</xdr:colOff>
      <xdr:row>123</xdr:row>
      <xdr:rowOff>169333</xdr:rowOff>
    </xdr:from>
    <xdr:to>
      <xdr:col>9</xdr:col>
      <xdr:colOff>476250</xdr:colOff>
      <xdr:row>126</xdr:row>
      <xdr:rowOff>42333</xdr:rowOff>
    </xdr:to>
    <xdr:sp macro="" textlink="">
      <xdr:nvSpPr>
        <xdr:cNvPr id="14" name="TextBox 13">
          <a:extLst>
            <a:ext uri="{FF2B5EF4-FFF2-40B4-BE49-F238E27FC236}">
              <a16:creationId xmlns:a16="http://schemas.microsoft.com/office/drawing/2014/main" id="{00000000-0008-0000-0500-00000E000000}"/>
            </a:ext>
          </a:extLst>
        </xdr:cNvPr>
        <xdr:cNvSpPr txBox="1"/>
      </xdr:nvSpPr>
      <xdr:spPr>
        <a:xfrm>
          <a:off x="6170084" y="23600833"/>
          <a:ext cx="1386416" cy="4445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  This is index value input from  model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xdr:colOff>
      <xdr:row>1</xdr:row>
      <xdr:rowOff>1</xdr:rowOff>
    </xdr:from>
    <xdr:to>
      <xdr:col>5</xdr:col>
      <xdr:colOff>9524</xdr:colOff>
      <xdr:row>22</xdr:row>
      <xdr:rowOff>171451</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38099" y="190501"/>
          <a:ext cx="3019425" cy="4171950"/>
        </a:xfrm>
        <a:prstGeom prst="rect">
          <a:avLst/>
        </a:prstGeom>
        <a:solidFill>
          <a:srgbClr val="B9FDB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On-Road Transportation, we use gasoline demand as the key tracking variable that will determine the emissions reduction from the VMT and EV initiatives.  It should be noted that both the VMT and EV indices quantify directly the resultant gasoline demand reduction; the assumptions noted in the Overview sheet address the implications of this approach.  VMT reduction (column B) is the first index impacting gasoline demand (column C).  Column D is the set-aside for off-road uses, and column E is the set-aside for gasoline vehicles with no EV substitutes.  Column G tracks the gasoline sold to the remaining light vehicles which could be subsequently converted to EVs. Column H adds back the two set-asides, for total gasoline demand. Column I calculates emissions from gasoline combustion.  Column J translates to total On-Road emissions, maintaining the 17 MMT year 2020 difference (156 MMT from the On-Road inventory line item, minus 139 MMT calculated from gasoline combustion), which is assumed to arise from diesel on-road emissions. </a:t>
          </a:r>
        </a:p>
        <a:p>
          <a:endParaRPr lang="en-US" sz="1100"/>
        </a:p>
      </xdr:txBody>
    </xdr:sp>
    <xdr:clientData/>
  </xdr:twoCellAnchor>
  <xdr:twoCellAnchor>
    <xdr:from>
      <xdr:col>5</xdr:col>
      <xdr:colOff>600075</xdr:colOff>
      <xdr:row>1</xdr:row>
      <xdr:rowOff>9525</xdr:rowOff>
    </xdr:from>
    <xdr:to>
      <xdr:col>9</xdr:col>
      <xdr:colOff>600075</xdr:colOff>
      <xdr:row>22</xdr:row>
      <xdr:rowOff>171450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3648075" y="200025"/>
          <a:ext cx="2438400" cy="4162425"/>
        </a:xfrm>
        <a:prstGeom prst="rect">
          <a:avLst/>
        </a:prstGeom>
        <a:solidFill>
          <a:srgbClr val="B9FDB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Two indirect (i.e. occur in other sectors) GHG emissions effects of EV conversion are given first pass estimates: 1) Gasoline related refinery emissions (Industrial sector) are assumed to be reduced in proportion to transportation fuel (gasoline, diesel, and jet fuel) production in columns K and L; 2) the emissions from added utility electricity demand from EV charging, based on a gasoline to electrical energy substitution ratio obtained from the literature, are estimated in columns N, O, and P.  For the purpose of simplicity, here it is assumed the 2017 emissions intensity of power generation is maintained through 2030.  Later, the model does account for the effect of more renewable electricity over time (and any reduced emissions intensity) when calculating total electricity GHG emissions.</a:t>
          </a:r>
        </a:p>
      </xdr:txBody>
    </xdr:sp>
    <xdr:clientData/>
  </xdr:twoCellAnchor>
  <xdr:twoCellAnchor>
    <xdr:from>
      <xdr:col>11</xdr:col>
      <xdr:colOff>0</xdr:colOff>
      <xdr:row>1</xdr:row>
      <xdr:rowOff>0</xdr:rowOff>
    </xdr:from>
    <xdr:to>
      <xdr:col>15</xdr:col>
      <xdr:colOff>0</xdr:colOff>
      <xdr:row>22</xdr:row>
      <xdr:rowOff>161925</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6705600" y="190500"/>
          <a:ext cx="2438400" cy="4162425"/>
        </a:xfrm>
        <a:prstGeom prst="rect">
          <a:avLst/>
        </a:prstGeom>
        <a:solidFill>
          <a:srgbClr val="B9FDB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The</a:t>
          </a:r>
          <a:r>
            <a:rPr lang="en-US" sz="1100" baseline="0">
              <a:solidFill>
                <a:schemeClr val="dk1"/>
              </a:solidFill>
              <a:latin typeface="+mn-lt"/>
              <a:ea typeface="+mn-ea"/>
              <a:cs typeface="+mn-cs"/>
            </a:rPr>
            <a:t> Building Electrification</a:t>
          </a:r>
          <a:r>
            <a:rPr lang="en-US" sz="1100">
              <a:solidFill>
                <a:schemeClr val="dk1"/>
              </a:solidFill>
              <a:latin typeface="+mn-lt"/>
              <a:ea typeface="+mn-ea"/>
              <a:cs typeface="+mn-cs"/>
            </a:rPr>
            <a:t> index is a direct percentage reduction of natural gas GHG emissions from the combined Commercial plus Residential sectors, calculated in column S.  Columns T through V estimate the potential indirect effect of reduced natural gas demand leakage as</a:t>
          </a:r>
          <a:r>
            <a:rPr lang="en-US" sz="1100" baseline="0">
              <a:solidFill>
                <a:schemeClr val="dk1"/>
              </a:solidFill>
              <a:latin typeface="+mn-lt"/>
              <a:ea typeface="+mn-ea"/>
              <a:cs typeface="+mn-cs"/>
            </a:rPr>
            <a:t> demand falls</a:t>
          </a:r>
          <a:r>
            <a:rPr lang="en-US" sz="1100">
              <a:solidFill>
                <a:schemeClr val="dk1"/>
              </a:solidFill>
              <a:latin typeface="+mn-lt"/>
              <a:ea typeface="+mn-ea"/>
              <a:cs typeface="+mn-cs"/>
            </a:rPr>
            <a:t>, which would likely be counted in the Industrial sector. However, this benefit may be delayed in part until pressurized gas delivery lines are shut down entirely. The</a:t>
          </a:r>
          <a:r>
            <a:rPr lang="en-US" sz="1100" baseline="0">
              <a:solidFill>
                <a:schemeClr val="dk1"/>
              </a:solidFill>
              <a:latin typeface="+mn-lt"/>
              <a:ea typeface="+mn-ea"/>
              <a:cs typeface="+mn-cs"/>
            </a:rPr>
            <a:t> leakage GHG estimates </a:t>
          </a:r>
          <a:r>
            <a:rPr lang="en-US" sz="1100">
              <a:solidFill>
                <a:schemeClr val="dk1"/>
              </a:solidFill>
              <a:latin typeface="+mn-lt"/>
              <a:ea typeface="+mn-ea"/>
              <a:cs typeface="+mn-cs"/>
            </a:rPr>
            <a:t>are only for the purpose of the Bldgs Gas-&gt;Elec chart; they are not carried into the total emissions numbers, as this leakage emission reduction could overlap the Industrial Energy Efficiency blanket reduction (resulting in potential double counting). </a:t>
          </a:r>
        </a:p>
      </xdr:txBody>
    </xdr:sp>
    <xdr:clientData/>
  </xdr:twoCellAnchor>
  <xdr:twoCellAnchor>
    <xdr:from>
      <xdr:col>16</xdr:col>
      <xdr:colOff>0</xdr:colOff>
      <xdr:row>1</xdr:row>
      <xdr:rowOff>0</xdr:rowOff>
    </xdr:from>
    <xdr:to>
      <xdr:col>19</xdr:col>
      <xdr:colOff>123825</xdr:colOff>
      <xdr:row>22</xdr:row>
      <xdr:rowOff>161925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9753600" y="190500"/>
          <a:ext cx="1952625" cy="4162425"/>
        </a:xfrm>
        <a:prstGeom prst="rect">
          <a:avLst/>
        </a:prstGeom>
        <a:solidFill>
          <a:srgbClr val="B9FDB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Columns W through Y estimate the emissions added electrification energy demand by converting the thermal energy content of the displaced natural gas to electricity to drive heat pumps, using a literature ratio for the amount of natural gas thermal energy to electrical energy for the same heat output. This reflects the electric heat pump’s ability to output several times more heat energy than it takes in as electrical energy.  This emissions calculation (column Y) is only for the purpose of the Bldgs Gas-&gt;Elec chart, and uses the 2017 electricity emissions intensity parameter for simplicity.  </a:t>
          </a:r>
        </a:p>
        <a:p>
          <a:pPr marL="0" indent="0"/>
          <a:endParaRPr lang="en-US" sz="1100">
            <a:solidFill>
              <a:schemeClr val="dk1"/>
            </a:solidFill>
            <a:latin typeface="+mn-lt"/>
            <a:ea typeface="+mn-ea"/>
            <a:cs typeface="+mn-cs"/>
          </a:endParaRPr>
        </a:p>
      </xdr:txBody>
    </xdr:sp>
    <xdr:clientData/>
  </xdr:twoCellAnchor>
  <xdr:twoCellAnchor>
    <xdr:from>
      <xdr:col>20</xdr:col>
      <xdr:colOff>1</xdr:colOff>
      <xdr:row>1</xdr:row>
      <xdr:rowOff>0</xdr:rowOff>
    </xdr:from>
    <xdr:to>
      <xdr:col>22</xdr:col>
      <xdr:colOff>590550</xdr:colOff>
      <xdr:row>22</xdr:row>
      <xdr:rowOff>161925</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2192001" y="190500"/>
          <a:ext cx="1809749" cy="4162425"/>
        </a:xfrm>
        <a:prstGeom prst="rect">
          <a:avLst/>
        </a:prstGeom>
        <a:solidFill>
          <a:srgbClr val="B9FDB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Perhaps the main downside, from a GHG perspective, of heat pumps is that most refrigerants they currently use are complex halogenated (chlorinated and fluorinated) hydrocarbons.  They are typically gases at atmospheric pressure. When they leak into the atmosphere, their high global warming potential means even a small quantity can have significant climate impact. In column Z, we estimate that impact based on literature data.  This calculation is used only for the Bldgs Gas-&gt;Elec chart, and is not carried into the total emissions summation.</a:t>
          </a:r>
        </a:p>
      </xdr:txBody>
    </xdr:sp>
    <xdr:clientData/>
  </xdr:twoCellAnchor>
  <xdr:twoCellAnchor>
    <xdr:from>
      <xdr:col>24</xdr:col>
      <xdr:colOff>0</xdr:colOff>
      <xdr:row>1</xdr:row>
      <xdr:rowOff>0</xdr:rowOff>
    </xdr:from>
    <xdr:to>
      <xdr:col>26</xdr:col>
      <xdr:colOff>495300</xdr:colOff>
      <xdr:row>22</xdr:row>
      <xdr:rowOff>161925</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4630400" y="190500"/>
          <a:ext cx="1714500" cy="4162425"/>
        </a:xfrm>
        <a:prstGeom prst="rect">
          <a:avLst/>
        </a:prstGeom>
        <a:solidFill>
          <a:srgbClr val="B9FDB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Column AB sets a constant electricity consumption baseline for modeling purposes.  It is recognized that actual consumption will change during the model timeframe; indeed, the State provides estimates of future consumption up to 2030.  However, the State’s estimates incorporate their own projections for impacts this model also accounts for, such as EV charging and rooftop solar PV.  Using the State’s future consumption values could cause double counting of consumption changes subsequently included in the model.</a:t>
          </a:r>
        </a:p>
        <a:p>
          <a:pPr marL="0" indent="0"/>
          <a:r>
            <a:rPr lang="en-US" sz="1100">
              <a:solidFill>
                <a:schemeClr val="dk1"/>
              </a:solidFill>
              <a:latin typeface="+mn-lt"/>
              <a:ea typeface="+mn-ea"/>
              <a:cs typeface="+mn-cs"/>
            </a:rPr>
            <a:t> </a:t>
          </a:r>
        </a:p>
        <a:p>
          <a:pPr marL="0" indent="0"/>
          <a:endParaRPr lang="en-US" sz="1100">
            <a:solidFill>
              <a:schemeClr val="dk1"/>
            </a:solidFill>
            <a:latin typeface="+mn-lt"/>
            <a:ea typeface="+mn-ea"/>
            <a:cs typeface="+mn-cs"/>
          </a:endParaRPr>
        </a:p>
      </xdr:txBody>
    </xdr:sp>
    <xdr:clientData/>
  </xdr:twoCellAnchor>
  <xdr:twoCellAnchor>
    <xdr:from>
      <xdr:col>28</xdr:col>
      <xdr:colOff>0</xdr:colOff>
      <xdr:row>1</xdr:row>
      <xdr:rowOff>0</xdr:rowOff>
    </xdr:from>
    <xdr:to>
      <xdr:col>30</xdr:col>
      <xdr:colOff>495300</xdr:colOff>
      <xdr:row>22</xdr:row>
      <xdr:rowOff>161925</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7068800" y="190500"/>
          <a:ext cx="1714500" cy="4162425"/>
        </a:xfrm>
        <a:prstGeom prst="rect">
          <a:avLst/>
        </a:prstGeom>
        <a:solidFill>
          <a:srgbClr val="B9FDB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Column AC accounts for ramped-up electricity energy efficiency implementation.  The Climate Safe Energy Efficiency index, which determines the extent that energy efficiency will reduce consumption, is expressed as a percentage of the SB 350 statutory policy mandate.  SB 350 requires a doubling of the current implementation rate; setting the index to 100% allows the model to reflect the SB 350 implementation rate. Column AD calculates the GHG emissions impact of efficiency, due to reduced utility generation demand. </a:t>
          </a:r>
        </a:p>
        <a:p>
          <a:pPr marL="0" indent="0"/>
          <a:endParaRPr lang="en-US" sz="1100">
            <a:solidFill>
              <a:schemeClr val="dk1"/>
            </a:solidFill>
            <a:latin typeface="+mn-lt"/>
            <a:ea typeface="+mn-ea"/>
            <a:cs typeface="+mn-cs"/>
          </a:endParaRPr>
        </a:p>
      </xdr:txBody>
    </xdr:sp>
    <xdr:clientData/>
  </xdr:twoCellAnchor>
  <xdr:twoCellAnchor>
    <xdr:from>
      <xdr:col>31</xdr:col>
      <xdr:colOff>609599</xdr:colOff>
      <xdr:row>1</xdr:row>
      <xdr:rowOff>0</xdr:rowOff>
    </xdr:from>
    <xdr:to>
      <xdr:col>35</xdr:col>
      <xdr:colOff>142874</xdr:colOff>
      <xdr:row>22</xdr:row>
      <xdr:rowOff>161925</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19507199" y="190500"/>
          <a:ext cx="1971675" cy="4162425"/>
        </a:xfrm>
        <a:prstGeom prst="rect">
          <a:avLst/>
        </a:prstGeom>
        <a:solidFill>
          <a:srgbClr val="B9FDB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Column AE sums the effect of all modeled behind-the-meter non-generation impacts (EVs, Electrification, Energy Efficiency) on total electricity consumption.</a:t>
          </a:r>
        </a:p>
        <a:p>
          <a:pPr marL="0" indent="0"/>
          <a:r>
            <a:rPr lang="en-US" sz="1100">
              <a:solidFill>
                <a:schemeClr val="dk1"/>
              </a:solidFill>
              <a:latin typeface="+mn-lt"/>
              <a:ea typeface="+mn-ea"/>
              <a:cs typeface="+mn-cs"/>
            </a:rPr>
            <a:t>Column AF accounts for the future installation of behind-the-meter solar PV, using the Climate Safe PV Capacity index to quantify the rate of new solar PV installations.  This index is expressed as a percentage of the highest rate of adoption estimated by the state. Setting this index to 100% allows the model to reflect the impact of the state’s highest estimated adoption rate on consumption.  Column AG calculates the resultant emissions reduction from utility power generation.</a:t>
          </a:r>
        </a:p>
        <a:p>
          <a:pPr marL="0" indent="0"/>
          <a:endParaRPr lang="en-US" sz="1100">
            <a:solidFill>
              <a:schemeClr val="dk1"/>
            </a:solidFill>
            <a:latin typeface="+mn-lt"/>
            <a:ea typeface="+mn-ea"/>
            <a:cs typeface="+mn-cs"/>
          </a:endParaRPr>
        </a:p>
      </xdr:txBody>
    </xdr:sp>
    <xdr:clientData/>
  </xdr:twoCellAnchor>
  <xdr:twoCellAnchor>
    <xdr:from>
      <xdr:col>36</xdr:col>
      <xdr:colOff>0</xdr:colOff>
      <xdr:row>1</xdr:row>
      <xdr:rowOff>0</xdr:rowOff>
    </xdr:from>
    <xdr:to>
      <xdr:col>38</xdr:col>
      <xdr:colOff>466725</xdr:colOff>
      <xdr:row>22</xdr:row>
      <xdr:rowOff>161925</xdr:rowOff>
    </xdr:to>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21945600" y="190500"/>
          <a:ext cx="1685925" cy="4162425"/>
        </a:xfrm>
        <a:prstGeom prst="rect">
          <a:avLst/>
        </a:prstGeom>
        <a:solidFill>
          <a:srgbClr val="B9FDB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Columns AH through AJ calculate required utility power generation.  Column AH sums up “at the meter” electricity sales, accounting for all behind-the-meter effects.  Column AI determines distribution line losses, which add to sales to determine utility power plant generation (column AJ).</a:t>
          </a:r>
        </a:p>
        <a:p>
          <a:pPr marL="0" indent="0"/>
          <a:endParaRPr lang="en-US" sz="1100">
            <a:solidFill>
              <a:schemeClr val="dk1"/>
            </a:solidFill>
            <a:latin typeface="+mn-lt"/>
            <a:ea typeface="+mn-ea"/>
            <a:cs typeface="+mn-cs"/>
          </a:endParaRPr>
        </a:p>
      </xdr:txBody>
    </xdr:sp>
    <xdr:clientData/>
  </xdr:twoCellAnchor>
  <xdr:twoCellAnchor>
    <xdr:from>
      <xdr:col>40</xdr:col>
      <xdr:colOff>1</xdr:colOff>
      <xdr:row>1</xdr:row>
      <xdr:rowOff>0</xdr:rowOff>
    </xdr:from>
    <xdr:to>
      <xdr:col>43</xdr:col>
      <xdr:colOff>495301</xdr:colOff>
      <xdr:row>22</xdr:row>
      <xdr:rowOff>161925</xdr:rowOff>
    </xdr:to>
    <xdr:sp macro="" textlink="">
      <xdr:nvSpPr>
        <xdr:cNvPr id="12" name="TextBox 11">
          <a:extLst>
            <a:ext uri="{FF2B5EF4-FFF2-40B4-BE49-F238E27FC236}">
              <a16:creationId xmlns:a16="http://schemas.microsoft.com/office/drawing/2014/main" id="{00000000-0008-0000-0800-00000C000000}"/>
            </a:ext>
          </a:extLst>
        </xdr:cNvPr>
        <xdr:cNvSpPr txBox="1"/>
      </xdr:nvSpPr>
      <xdr:spPr>
        <a:xfrm>
          <a:off x="24384001" y="190500"/>
          <a:ext cx="2324100" cy="4162425"/>
        </a:xfrm>
        <a:prstGeom prst="rect">
          <a:avLst/>
        </a:prstGeom>
        <a:solidFill>
          <a:srgbClr val="B9FDB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The emissions intensity factor of Column AK is calculated separately in the Pathways Background Calcs worksheet, using the current breakdown of the utility generation types as a baseline, then accounting for anticipated changes in the future.  The “2030 Renewable Content” index can be adjusted to view the effect or more or less aggressive moves toward renewable utility generation on the emissions index (and resultant electricity sector GHG emissions).</a:t>
          </a:r>
        </a:p>
        <a:p>
          <a:pPr marL="0" indent="0"/>
          <a:r>
            <a:rPr lang="en-US" sz="1100">
              <a:solidFill>
                <a:schemeClr val="dk1"/>
              </a:solidFill>
              <a:latin typeface="+mn-lt"/>
              <a:ea typeface="+mn-ea"/>
              <a:cs typeface="+mn-cs"/>
            </a:rPr>
            <a:t>Column AL estimates the GHG emissions reductions from improving generation GHG emission intensity alone.  Columns AM and AN break out the emissions contributions from EV charging and building electrification, using the predicted emissions intensity values. Finally, column AO determines the total electricity sector emissions.</a:t>
          </a:r>
        </a:p>
      </xdr:txBody>
    </xdr:sp>
    <xdr:clientData/>
  </xdr:twoCellAnchor>
  <xdr:twoCellAnchor>
    <xdr:from>
      <xdr:col>45</xdr:col>
      <xdr:colOff>0</xdr:colOff>
      <xdr:row>1</xdr:row>
      <xdr:rowOff>0</xdr:rowOff>
    </xdr:from>
    <xdr:to>
      <xdr:col>48</xdr:col>
      <xdr:colOff>219075</xdr:colOff>
      <xdr:row>22</xdr:row>
      <xdr:rowOff>161925</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27432000" y="190500"/>
          <a:ext cx="2047875" cy="4162425"/>
        </a:xfrm>
        <a:prstGeom prst="rect">
          <a:avLst/>
        </a:prstGeom>
        <a:solidFill>
          <a:srgbClr val="B9FDB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Columns AP through AQ use overall emission reduction indices to estimate potential savings for Industrial and Agricultural emissions.  In the Industrial sector, a number of inventory line items deemed amenable to significant energy efficiency improvements are combined in a sub-sector and adjusted based on the index.  For Agriculture, in columns AS and AT, Manure Management becomes a sub-sector with an index for reduced emissions from improved manure treatment (such as anaerobic digestion).</a:t>
          </a:r>
        </a:p>
        <a:p>
          <a:pPr marL="0" indent="0"/>
          <a:endParaRPr lang="en-US" sz="1100">
            <a:solidFill>
              <a:schemeClr val="dk1"/>
            </a:solidFill>
            <a:latin typeface="+mn-lt"/>
            <a:ea typeface="+mn-ea"/>
            <a:cs typeface="+mn-cs"/>
          </a:endParaRPr>
        </a:p>
      </xdr:txBody>
    </xdr:sp>
    <xdr:clientData/>
  </xdr:twoCellAnchor>
  <xdr:twoCellAnchor>
    <xdr:from>
      <xdr:col>49</xdr:col>
      <xdr:colOff>0</xdr:colOff>
      <xdr:row>1</xdr:row>
      <xdr:rowOff>0</xdr:rowOff>
    </xdr:from>
    <xdr:to>
      <xdr:col>51</xdr:col>
      <xdr:colOff>466725</xdr:colOff>
      <xdr:row>10</xdr:row>
      <xdr:rowOff>171450</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29870400" y="190500"/>
          <a:ext cx="1685925" cy="1885950"/>
        </a:xfrm>
        <a:prstGeom prst="rect">
          <a:avLst/>
        </a:prstGeom>
        <a:solidFill>
          <a:srgbClr val="B9FDB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Column AV totals all GHG emissions, showing for 2020-30 the net effect of all emissions changes.  The summation</a:t>
          </a:r>
          <a:r>
            <a:rPr lang="en-US" sz="1100" baseline="0">
              <a:solidFill>
                <a:schemeClr val="dk1"/>
              </a:solidFill>
              <a:latin typeface="+mn-lt"/>
              <a:ea typeface="+mn-ea"/>
              <a:cs typeface="+mn-cs"/>
            </a:rPr>
            <a:t> includes the sub-sectors from Pathways Data Alignment that were not impacted by the reduction modeling.</a:t>
          </a:r>
          <a:endParaRPr lang="en-US" sz="1100">
            <a:solidFill>
              <a:schemeClr val="dk1"/>
            </a:solidFill>
            <a:latin typeface="+mn-lt"/>
            <a:ea typeface="+mn-ea"/>
            <a:cs typeface="+mn-cs"/>
          </a:endParaRPr>
        </a:p>
        <a:p>
          <a:pPr marL="0" indent="0"/>
          <a:endParaRPr lang="en-US" sz="1100">
            <a:solidFill>
              <a:schemeClr val="dk1"/>
            </a:solidFill>
            <a:latin typeface="+mn-lt"/>
            <a:ea typeface="+mn-ea"/>
            <a:cs typeface="+mn-cs"/>
          </a:endParaRPr>
        </a:p>
      </xdr:txBody>
    </xdr:sp>
    <xdr:clientData/>
  </xdr:twoCellAnchor>
  <xdr:twoCellAnchor>
    <xdr:from>
      <xdr:col>53</xdr:col>
      <xdr:colOff>0</xdr:colOff>
      <xdr:row>1</xdr:row>
      <xdr:rowOff>1</xdr:rowOff>
    </xdr:from>
    <xdr:to>
      <xdr:col>56</xdr:col>
      <xdr:colOff>66675</xdr:colOff>
      <xdr:row>11</xdr:row>
      <xdr:rowOff>38101</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32308800" y="190501"/>
          <a:ext cx="1895475" cy="1943100"/>
        </a:xfrm>
        <a:prstGeom prst="rect">
          <a:avLst/>
        </a:prstGeom>
        <a:solidFill>
          <a:srgbClr val="B9FDB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Columns AX through BG incorporate each sequestration model practice as developed by Carbon Cycle Institute.  The sequestration practice index values were provided by the authors. Column BG sums the total emissions sequestration from all practices.   </a:t>
          </a:r>
        </a:p>
      </xdr:txBody>
    </xdr:sp>
    <xdr:clientData/>
  </xdr:twoCellAnchor>
  <xdr:twoCellAnchor>
    <xdr:from>
      <xdr:col>57</xdr:col>
      <xdr:colOff>0</xdr:colOff>
      <xdr:row>1</xdr:row>
      <xdr:rowOff>0</xdr:rowOff>
    </xdr:from>
    <xdr:to>
      <xdr:col>59</xdr:col>
      <xdr:colOff>466725</xdr:colOff>
      <xdr:row>5</xdr:row>
      <xdr:rowOff>180975</xdr:rowOff>
    </xdr:to>
    <xdr:sp macro="" textlink="">
      <xdr:nvSpPr>
        <xdr:cNvPr id="16" name="TextBox 15">
          <a:extLst>
            <a:ext uri="{FF2B5EF4-FFF2-40B4-BE49-F238E27FC236}">
              <a16:creationId xmlns:a16="http://schemas.microsoft.com/office/drawing/2014/main" id="{00000000-0008-0000-0800-000010000000}"/>
            </a:ext>
          </a:extLst>
        </xdr:cNvPr>
        <xdr:cNvSpPr txBox="1"/>
      </xdr:nvSpPr>
      <xdr:spPr>
        <a:xfrm>
          <a:off x="34747200" y="190500"/>
          <a:ext cx="1685925" cy="942975"/>
        </a:xfrm>
        <a:prstGeom prst="rect">
          <a:avLst/>
        </a:prstGeom>
        <a:solidFill>
          <a:srgbClr val="B9FDB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Finally, Column BH calculates the net GHG emissions, after sequestration. </a:t>
          </a:r>
        </a:p>
        <a:p>
          <a:pPr marL="0" indent="0"/>
          <a:endParaRPr lang="en-US"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0.16448</cdr:x>
      <cdr:y>0.13396</cdr:y>
    </cdr:from>
    <cdr:to>
      <cdr:x>0.6971</cdr:x>
      <cdr:y>0.19229</cdr:y>
    </cdr:to>
    <cdr:sp macro="" textlink="">
      <cdr:nvSpPr>
        <cdr:cNvPr id="2" name="TextBox 1"/>
        <cdr:cNvSpPr txBox="1"/>
      </cdr:nvSpPr>
      <cdr:spPr>
        <a:xfrm xmlns:a="http://schemas.openxmlformats.org/drawingml/2006/main">
          <a:off x="1428751" y="843641"/>
          <a:ext cx="4626428" cy="3673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a:t>Conversion</a:t>
          </a:r>
          <a:r>
            <a:rPr lang="en-US" sz="1600" baseline="0"/>
            <a:t> of Gasoline Autos to Battery Electric (EVs)</a:t>
          </a:r>
          <a:endParaRPr lang="en-US" sz="1600"/>
        </a:p>
      </cdr:txBody>
    </cdr:sp>
  </cdr:relSizeAnchor>
  <cdr:relSizeAnchor xmlns:cdr="http://schemas.openxmlformats.org/drawingml/2006/chartDrawing">
    <cdr:from>
      <cdr:x>0.68457</cdr:x>
      <cdr:y>0.13396</cdr:y>
    </cdr:from>
    <cdr:to>
      <cdr:x>0.76133</cdr:x>
      <cdr:y>0.18149</cdr:y>
    </cdr:to>
    <cdr:sp macro="" textlink="'EV Conversion Data'!$E$2">
      <cdr:nvSpPr>
        <cdr:cNvPr id="5" name="TextBox 4"/>
        <cdr:cNvSpPr txBox="1"/>
      </cdr:nvSpPr>
      <cdr:spPr>
        <a:xfrm xmlns:a="http://schemas.openxmlformats.org/drawingml/2006/main">
          <a:off x="5946321" y="843641"/>
          <a:ext cx="666750" cy="2993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B162D47-F24A-41E9-9BB7-67DA6FABDD01}" type="TxLink">
            <a:rPr lang="en-US" sz="1600" b="0" i="0" u="none" strike="noStrike">
              <a:solidFill>
                <a:srgbClr val="000000"/>
              </a:solidFill>
              <a:latin typeface="Calibri"/>
              <a:cs typeface="Calibri"/>
            </a:rPr>
            <a:pPr/>
            <a:t>50%</a:t>
          </a:fld>
          <a:endParaRPr lang="en-US" sz="1600"/>
        </a:p>
      </cdr:txBody>
    </cdr:sp>
  </cdr:relSizeAnchor>
  <cdr:relSizeAnchor xmlns:cdr="http://schemas.openxmlformats.org/drawingml/2006/chartDrawing">
    <cdr:from>
      <cdr:x>0.16918</cdr:x>
      <cdr:y>0.06482</cdr:y>
    </cdr:from>
    <cdr:to>
      <cdr:x>0.18172</cdr:x>
      <cdr:y>0.09939</cdr:y>
    </cdr:to>
    <cdr:sp macro="" textlink="">
      <cdr:nvSpPr>
        <cdr:cNvPr id="6" name="TextBox 5"/>
        <cdr:cNvSpPr txBox="1"/>
      </cdr:nvSpPr>
      <cdr:spPr>
        <a:xfrm xmlns:a="http://schemas.openxmlformats.org/drawingml/2006/main">
          <a:off x="1469571" y="408214"/>
          <a:ext cx="108858" cy="217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0.25378</cdr:x>
      <cdr:y>0.05468</cdr:y>
    </cdr:from>
    <cdr:to>
      <cdr:x>0.72216</cdr:x>
      <cdr:y>0.10005</cdr:y>
    </cdr:to>
    <cdr:sp macro="" textlink="">
      <cdr:nvSpPr>
        <cdr:cNvPr id="7" name="TextBox 6"/>
        <cdr:cNvSpPr txBox="1"/>
      </cdr:nvSpPr>
      <cdr:spPr>
        <a:xfrm xmlns:a="http://schemas.openxmlformats.org/drawingml/2006/main">
          <a:off x="2204357" y="344366"/>
          <a:ext cx="406853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t>Million Metric Tonnes Carbon Dioxide Equivalent </a:t>
          </a:r>
        </a:p>
      </cdr:txBody>
    </cdr:sp>
  </cdr:relSizeAnchor>
  <cdr:relSizeAnchor xmlns:cdr="http://schemas.openxmlformats.org/drawingml/2006/chartDrawing">
    <cdr:from>
      <cdr:x>0.16448</cdr:x>
      <cdr:y>0.09333</cdr:y>
    </cdr:from>
    <cdr:to>
      <cdr:x>0.60196</cdr:x>
      <cdr:y>0.1436</cdr:y>
    </cdr:to>
    <cdr:sp macro="" textlink="">
      <cdr:nvSpPr>
        <cdr:cNvPr id="8" name="TextBox 1"/>
        <cdr:cNvSpPr txBox="1"/>
      </cdr:nvSpPr>
      <cdr:spPr>
        <a:xfrm xmlns:a="http://schemas.openxmlformats.org/drawingml/2006/main">
          <a:off x="1428751" y="587759"/>
          <a:ext cx="3800021" cy="3165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0" i="0" u="none" strike="noStrike">
              <a:solidFill>
                <a:srgbClr val="000000"/>
              </a:solidFill>
              <a:latin typeface="Calibri"/>
              <a:cs typeface="Calibri"/>
            </a:rPr>
            <a:t>Reduction</a:t>
          </a:r>
          <a:r>
            <a:rPr lang="en-US" sz="1600" b="0" i="0" u="none" strike="noStrike" baseline="0">
              <a:solidFill>
                <a:srgbClr val="000000"/>
              </a:solidFill>
              <a:latin typeface="Calibri"/>
              <a:cs typeface="Calibri"/>
            </a:rPr>
            <a:t> of Vehicle Miles Traveled (VMT)</a:t>
          </a:r>
          <a:endParaRPr lang="en-US" sz="1600"/>
        </a:p>
      </cdr:txBody>
    </cdr:sp>
  </cdr:relSizeAnchor>
  <cdr:relSizeAnchor xmlns:cdr="http://schemas.openxmlformats.org/drawingml/2006/chartDrawing">
    <cdr:from>
      <cdr:x>0.58172</cdr:x>
      <cdr:y>0.09333</cdr:y>
    </cdr:from>
    <cdr:to>
      <cdr:x>0.65848</cdr:x>
      <cdr:y>0.14086</cdr:y>
    </cdr:to>
    <cdr:sp macro="" textlink="'EV Conversion Data'!$E$3">
      <cdr:nvSpPr>
        <cdr:cNvPr id="9" name="TextBox 1"/>
        <cdr:cNvSpPr txBox="1"/>
      </cdr:nvSpPr>
      <cdr:spPr>
        <a:xfrm xmlns:a="http://schemas.openxmlformats.org/drawingml/2006/main">
          <a:off x="5052996" y="587759"/>
          <a:ext cx="666750" cy="2993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19D7B7E-BE60-431C-B029-21D807682DE1}" type="TxLink">
            <a:rPr lang="en-US" sz="1600" b="0" i="0" u="none" strike="noStrike">
              <a:solidFill>
                <a:srgbClr val="000000"/>
              </a:solidFill>
              <a:latin typeface="Calibri"/>
              <a:cs typeface="Calibri"/>
            </a:rPr>
            <a:pPr/>
            <a:t>20%</a:t>
          </a:fld>
          <a:endParaRPr lang="en-US" sz="1600"/>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mc-info@sonic.net" TargetMode="External"/><Relationship Id="rId2" Type="http://schemas.openxmlformats.org/officeDocument/2006/relationships/hyperlink" Target="http://www.ecmcwater.com/" TargetMode="External"/><Relationship Id="rId1" Type="http://schemas.openxmlformats.org/officeDocument/2006/relationships/hyperlink" Target="http://www.theclimatecenter.org/" TargetMode="External"/><Relationship Id="rId6" Type="http://schemas.openxmlformats.org/officeDocument/2006/relationships/drawing" Target="../drawings/drawing1.xml"/><Relationship Id="rId5" Type="http://schemas.openxmlformats.org/officeDocument/2006/relationships/hyperlink" Target="mailto:pathways@theclimatecenter.org" TargetMode="External"/><Relationship Id="rId4" Type="http://schemas.openxmlformats.org/officeDocument/2006/relationships/hyperlink" Target="http://www.carboncycle.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theclimatecenter.org/resources/science/" TargetMode="External"/><Relationship Id="rId1" Type="http://schemas.openxmlformats.org/officeDocument/2006/relationships/hyperlink" Target="http://hyperphysics.phy-astr.gsu.edu/hbase/thermo/grnhse.html" TargetMode="External"/><Relationship Id="rId6" Type="http://schemas.openxmlformats.org/officeDocument/2006/relationships/image" Target="../media/image3.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A728D-97A6-49FE-B5E1-4CC17B4547D8}">
  <dimension ref="C2:I22"/>
  <sheetViews>
    <sheetView tabSelected="1" workbookViewId="0"/>
  </sheetViews>
  <sheetFormatPr defaultRowHeight="15" x14ac:dyDescent="0.25"/>
  <cols>
    <col min="1" max="16384" width="9.140625" style="72"/>
  </cols>
  <sheetData>
    <row r="2" spans="3:9" ht="26.25" x14ac:dyDescent="0.4">
      <c r="D2" s="73" t="s">
        <v>483</v>
      </c>
    </row>
    <row r="4" spans="3:9" x14ac:dyDescent="0.25">
      <c r="C4" s="72" t="s">
        <v>486</v>
      </c>
      <c r="E4" s="72" t="s">
        <v>565</v>
      </c>
      <c r="G4" s="72" t="s">
        <v>500</v>
      </c>
      <c r="I4" s="72" t="s">
        <v>501</v>
      </c>
    </row>
    <row r="6" spans="3:9" x14ac:dyDescent="0.25">
      <c r="E6" s="72" t="s">
        <v>484</v>
      </c>
    </row>
    <row r="7" spans="3:9" x14ac:dyDescent="0.25">
      <c r="E7" s="72" t="s">
        <v>485</v>
      </c>
    </row>
    <row r="8" spans="3:9" x14ac:dyDescent="0.25">
      <c r="E8" s="72" t="s">
        <v>487</v>
      </c>
    </row>
    <row r="9" spans="3:9" x14ac:dyDescent="0.25">
      <c r="E9" s="72" t="s">
        <v>488</v>
      </c>
    </row>
    <row r="10" spans="3:9" x14ac:dyDescent="0.25">
      <c r="E10" s="74" t="s">
        <v>489</v>
      </c>
    </row>
    <row r="11" spans="3:9" x14ac:dyDescent="0.25">
      <c r="E11" s="72" t="s">
        <v>496</v>
      </c>
    </row>
    <row r="12" spans="3:9" x14ac:dyDescent="0.25">
      <c r="E12" s="74" t="s">
        <v>564</v>
      </c>
    </row>
    <row r="14" spans="3:9" x14ac:dyDescent="0.25">
      <c r="E14" s="72" t="s">
        <v>490</v>
      </c>
    </row>
    <row r="15" spans="3:9" x14ac:dyDescent="0.25">
      <c r="E15" s="72" t="s">
        <v>491</v>
      </c>
    </row>
    <row r="16" spans="3:9" x14ac:dyDescent="0.25">
      <c r="E16" s="74" t="s">
        <v>493</v>
      </c>
    </row>
    <row r="17" spans="5:5" x14ac:dyDescent="0.25">
      <c r="E17" s="74" t="s">
        <v>492</v>
      </c>
    </row>
    <row r="19" spans="5:5" x14ac:dyDescent="0.25">
      <c r="E19" s="72" t="s">
        <v>559</v>
      </c>
    </row>
    <row r="20" spans="5:5" x14ac:dyDescent="0.25">
      <c r="E20" s="72" t="s">
        <v>560</v>
      </c>
    </row>
    <row r="21" spans="5:5" x14ac:dyDescent="0.25">
      <c r="E21" s="72" t="s">
        <v>494</v>
      </c>
    </row>
    <row r="22" spans="5:5" x14ac:dyDescent="0.25">
      <c r="E22" s="74" t="s">
        <v>495</v>
      </c>
    </row>
  </sheetData>
  <hyperlinks>
    <hyperlink ref="E10" r:id="rId1" xr:uid="{B89288DE-0BCD-4EC7-83DF-63BE5FB2859C}"/>
    <hyperlink ref="E17" r:id="rId2" xr:uid="{9798DD0E-50FA-4B74-B49A-4E18AE9EE7AC}"/>
    <hyperlink ref="E16" r:id="rId3" xr:uid="{2FFA6734-FC71-4927-9E00-98DBCF0C9511}"/>
    <hyperlink ref="E22" r:id="rId4" xr:uid="{7B233761-F307-4EE3-97B4-0CE02EC4EFF2}"/>
    <hyperlink ref="E12" r:id="rId5" xr:uid="{E064464F-30B6-41EC-AEE5-82733A88C61C}"/>
  </hyperlinks>
  <pageMargins left="0.7" right="0.7" top="0.75" bottom="0.75" header="0.3" footer="0.3"/>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
  <sheetViews>
    <sheetView workbookViewId="0"/>
  </sheetViews>
  <sheetFormatPr defaultRowHeight="15" x14ac:dyDescent="0.25"/>
  <cols>
    <col min="1" max="1" width="19.140625" style="26" customWidth="1"/>
    <col min="2" max="16384" width="9.140625" style="26"/>
  </cols>
  <sheetData>
    <row r="1" spans="1:5" x14ac:dyDescent="0.25">
      <c r="A1" s="26" t="s">
        <v>208</v>
      </c>
    </row>
    <row r="2" spans="1:5" x14ac:dyDescent="0.25">
      <c r="A2" s="26" t="s">
        <v>209</v>
      </c>
      <c r="E2" s="10">
        <f>'Pathways Model'!H3</f>
        <v>0.5</v>
      </c>
    </row>
    <row r="3" spans="1:5" x14ac:dyDescent="0.25">
      <c r="A3" s="26" t="s">
        <v>210</v>
      </c>
      <c r="E3" s="10">
        <f>'Pathways Model'!C3</f>
        <v>0.2</v>
      </c>
    </row>
    <row r="4" spans="1:5" x14ac:dyDescent="0.25">
      <c r="A4" s="11"/>
      <c r="B4" s="11">
        <v>2020</v>
      </c>
      <c r="C4" s="11">
        <v>2030</v>
      </c>
    </row>
    <row r="5" spans="1:5" x14ac:dyDescent="0.25">
      <c r="A5" s="26" t="s">
        <v>214</v>
      </c>
      <c r="C5" s="8">
        <f>'Pathways Model'!P20</f>
        <v>12.92087206666667</v>
      </c>
    </row>
    <row r="6" spans="1:5" x14ac:dyDescent="0.25">
      <c r="A6" s="26" t="s">
        <v>212</v>
      </c>
      <c r="B6" s="8">
        <f>'Pathways Model'!L10</f>
        <v>29.82</v>
      </c>
      <c r="C6" s="8">
        <f>'Pathways Model'!L20</f>
        <v>19.73032257261411</v>
      </c>
      <c r="D6" s="4"/>
    </row>
    <row r="7" spans="1:5" x14ac:dyDescent="0.25">
      <c r="A7" s="26" t="s">
        <v>211</v>
      </c>
      <c r="B7" s="8">
        <f>'Pathways Model'!J10</f>
        <v>155.75</v>
      </c>
      <c r="C7" s="8">
        <f>'Pathways Model'!J20</f>
        <v>82.238985499999998</v>
      </c>
      <c r="D7" s="4"/>
    </row>
    <row r="8" spans="1:5" x14ac:dyDescent="0.25">
      <c r="A8" s="26" t="s">
        <v>213</v>
      </c>
      <c r="B8" s="8">
        <f>SUM(B6:B7)</f>
        <v>185.57</v>
      </c>
      <c r="C8" s="8">
        <f>SUM(C6:C7)</f>
        <v>101.96930807261411</v>
      </c>
      <c r="D8" s="4"/>
    </row>
    <row r="9" spans="1:5" x14ac:dyDescent="0.25">
      <c r="C9" s="4"/>
      <c r="D9" s="4"/>
    </row>
    <row r="10" spans="1:5" x14ac:dyDescent="0.25">
      <c r="D10" s="4"/>
    </row>
    <row r="11" spans="1:5" x14ac:dyDescent="0.25">
      <c r="D11" s="4"/>
      <c r="E11" s="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
  <sheetViews>
    <sheetView workbookViewId="0">
      <selection activeCell="A8" sqref="A8"/>
    </sheetView>
  </sheetViews>
  <sheetFormatPr defaultRowHeight="15" x14ac:dyDescent="0.25"/>
  <cols>
    <col min="1" max="1" width="14.85546875" customWidth="1"/>
  </cols>
  <sheetData>
    <row r="1" spans="1:5" x14ac:dyDescent="0.25">
      <c r="A1" s="26" t="s">
        <v>208</v>
      </c>
      <c r="B1" s="26"/>
      <c r="C1" s="26"/>
      <c r="D1" s="26"/>
      <c r="E1" s="26"/>
    </row>
    <row r="2" spans="1:5" s="26" customFormat="1" x14ac:dyDescent="0.25">
      <c r="A2" s="26" t="s">
        <v>218</v>
      </c>
    </row>
    <row r="3" spans="1:5" x14ac:dyDescent="0.25">
      <c r="A3" s="26" t="s">
        <v>217</v>
      </c>
      <c r="B3" s="26"/>
      <c r="C3" s="26"/>
      <c r="D3" s="10">
        <f>'Pathways Model'!H3</f>
        <v>0.5</v>
      </c>
    </row>
    <row r="4" spans="1:5" x14ac:dyDescent="0.25">
      <c r="A4" s="26"/>
      <c r="B4" s="26"/>
      <c r="C4" s="26"/>
      <c r="D4" s="26"/>
      <c r="E4" s="10"/>
    </row>
    <row r="5" spans="1:5" x14ac:dyDescent="0.25">
      <c r="A5" s="11"/>
      <c r="B5" s="11">
        <v>2020</v>
      </c>
      <c r="C5" s="11">
        <v>2030</v>
      </c>
      <c r="D5" s="26"/>
      <c r="E5" s="26"/>
    </row>
    <row r="6" spans="1:5" x14ac:dyDescent="0.25">
      <c r="A6" s="26" t="s">
        <v>216</v>
      </c>
      <c r="B6" s="26"/>
      <c r="C6" s="8">
        <f>'Pathways Model'!Z20</f>
        <v>2.5450251228863991</v>
      </c>
      <c r="D6" s="26"/>
      <c r="E6" s="26"/>
    </row>
    <row r="7" spans="1:5" x14ac:dyDescent="0.25">
      <c r="A7" s="26" t="s">
        <v>278</v>
      </c>
      <c r="B7" s="8"/>
      <c r="C7" s="8">
        <f>'Pathways Model'!Y20</f>
        <v>6.3625628072159985</v>
      </c>
      <c r="D7" s="4"/>
      <c r="E7" s="26"/>
    </row>
    <row r="8" spans="1:5" x14ac:dyDescent="0.25">
      <c r="A8" s="26" t="s">
        <v>380</v>
      </c>
      <c r="B8" s="8">
        <f>'Pathways Model'!V10</f>
        <v>10.3380121152</v>
      </c>
      <c r="C8" s="8">
        <f>'Pathways Model'!V20</f>
        <v>5.7375967239360017</v>
      </c>
      <c r="D8" s="4"/>
      <c r="E8" s="26"/>
    </row>
    <row r="9" spans="1:5" x14ac:dyDescent="0.25">
      <c r="A9" s="26" t="s">
        <v>215</v>
      </c>
      <c r="B9" s="8">
        <f>'Pathways Model'!S10</f>
        <v>35.341999999999999</v>
      </c>
      <c r="C9" s="8">
        <f>'Pathways Model'!S20</f>
        <v>19.614810000000002</v>
      </c>
      <c r="D9" s="4"/>
      <c r="E9" s="2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23FD7-5C0A-49C0-9FD6-B9FE14E0AC0E}">
  <dimension ref="A1:F12"/>
  <sheetViews>
    <sheetView workbookViewId="0">
      <selection activeCell="C6" sqref="C6"/>
    </sheetView>
  </sheetViews>
  <sheetFormatPr defaultRowHeight="15" x14ac:dyDescent="0.25"/>
  <cols>
    <col min="1" max="1" width="20.5703125" style="64" customWidth="1"/>
    <col min="2" max="16384" width="9.140625" style="64"/>
  </cols>
  <sheetData>
    <row r="1" spans="1:6" x14ac:dyDescent="0.25">
      <c r="A1" s="64" t="s">
        <v>208</v>
      </c>
    </row>
    <row r="2" spans="1:6" x14ac:dyDescent="0.25">
      <c r="A2" s="64" t="s">
        <v>218</v>
      </c>
    </row>
    <row r="3" spans="1:6" x14ac:dyDescent="0.25">
      <c r="A3" s="64" t="s">
        <v>279</v>
      </c>
      <c r="D3" s="10">
        <f>'Pathways Model'!AK4</f>
        <v>0.7</v>
      </c>
    </row>
    <row r="4" spans="1:6" x14ac:dyDescent="0.25">
      <c r="E4" s="10"/>
    </row>
    <row r="5" spans="1:6" x14ac:dyDescent="0.25">
      <c r="A5" s="11"/>
      <c r="B5" s="11">
        <v>2020</v>
      </c>
      <c r="F5" s="11">
        <v>2030</v>
      </c>
    </row>
    <row r="6" spans="1:6" x14ac:dyDescent="0.25">
      <c r="A6" s="64" t="s">
        <v>434</v>
      </c>
      <c r="B6" s="7">
        <f>'Pathways Model'!AO10</f>
        <v>62.453403515053587</v>
      </c>
      <c r="F6" s="7">
        <f>'Pathways Model'!AO20</f>
        <v>12.493659849549974</v>
      </c>
    </row>
    <row r="7" spans="1:6" x14ac:dyDescent="0.25">
      <c r="A7" s="64" t="s">
        <v>432</v>
      </c>
      <c r="B7" s="7"/>
      <c r="C7" s="7">
        <f>-'Pathways Model'!AD20</f>
        <v>-5.7458583427090497</v>
      </c>
      <c r="E7" s="7"/>
    </row>
    <row r="8" spans="1:6" x14ac:dyDescent="0.25">
      <c r="A8" s="64" t="s">
        <v>431</v>
      </c>
      <c r="B8" s="7"/>
      <c r="C8" s="7">
        <f>-'Pathways Model'!AG20</f>
        <v>-2.3596324927391832</v>
      </c>
      <c r="E8" s="7"/>
    </row>
    <row r="9" spans="1:6" x14ac:dyDescent="0.25">
      <c r="A9" s="64" t="s">
        <v>428</v>
      </c>
      <c r="B9" s="7"/>
      <c r="D9" s="7">
        <f>-'Pathways Model'!AL20</f>
        <v>-37.100595969286189</v>
      </c>
      <c r="E9" s="7"/>
    </row>
    <row r="10" spans="1:6" x14ac:dyDescent="0.25">
      <c r="A10" s="64" t="s">
        <v>430</v>
      </c>
      <c r="B10" s="8"/>
      <c r="D10" s="4"/>
      <c r="E10" s="7">
        <f>'Pathways Model'!AM20</f>
        <v>3.2604962915824776</v>
      </c>
    </row>
    <row r="11" spans="1:6" x14ac:dyDescent="0.25">
      <c r="A11" s="64" t="s">
        <v>429</v>
      </c>
      <c r="B11" s="8"/>
      <c r="D11" s="4"/>
      <c r="E11" s="7">
        <f>'Pathways Model'!AN20</f>
        <v>1.6055504869061203</v>
      </c>
    </row>
    <row r="12" spans="1:6" x14ac:dyDescent="0.25">
      <c r="B12" s="8"/>
      <c r="C12" s="8"/>
      <c r="D12" s="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
  <sheetViews>
    <sheetView workbookViewId="0"/>
  </sheetViews>
  <sheetFormatPr defaultRowHeight="15" x14ac:dyDescent="0.25"/>
  <cols>
    <col min="1" max="1" width="20.5703125" style="41" customWidth="1"/>
    <col min="2" max="16384" width="9.140625" style="41"/>
  </cols>
  <sheetData>
    <row r="1" spans="1:5" x14ac:dyDescent="0.25">
      <c r="A1" s="41" t="s">
        <v>208</v>
      </c>
    </row>
    <row r="2" spans="1:5" x14ac:dyDescent="0.25">
      <c r="A2" s="41" t="s">
        <v>218</v>
      </c>
    </row>
    <row r="3" spans="1:5" x14ac:dyDescent="0.25">
      <c r="A3" s="41" t="s">
        <v>282</v>
      </c>
      <c r="D3" s="10">
        <f>'Pathways Model'!AQ4</f>
        <v>0.3</v>
      </c>
    </row>
    <row r="4" spans="1:5" x14ac:dyDescent="0.25">
      <c r="A4" s="41" t="s">
        <v>283</v>
      </c>
      <c r="D4" s="10">
        <f>'Pathways Model'!AT4</f>
        <v>0.3</v>
      </c>
      <c r="E4" s="10"/>
    </row>
    <row r="5" spans="1:5" x14ac:dyDescent="0.25">
      <c r="A5" s="11"/>
      <c r="B5" s="11">
        <v>2020</v>
      </c>
      <c r="C5" s="11">
        <v>2030</v>
      </c>
    </row>
    <row r="6" spans="1:5" x14ac:dyDescent="0.25">
      <c r="A6" s="41" t="s">
        <v>280</v>
      </c>
      <c r="B6" s="8">
        <f>'Pathways Model'!AQ10</f>
        <v>45.38</v>
      </c>
      <c r="C6" s="8">
        <f>'Pathways Model'!AQ20</f>
        <v>31.765999999999998</v>
      </c>
    </row>
    <row r="7" spans="1:5" x14ac:dyDescent="0.25">
      <c r="A7" s="41" t="s">
        <v>281</v>
      </c>
      <c r="B7" s="8">
        <f>'Pathways Model'!AT10</f>
        <v>11.62</v>
      </c>
      <c r="C7" s="8">
        <f>'Pathways Model'!AT20</f>
        <v>8.1339999999999986</v>
      </c>
      <c r="D7" s="4"/>
    </row>
    <row r="8" spans="1:5" x14ac:dyDescent="0.25">
      <c r="B8" s="8"/>
      <c r="C8" s="8"/>
      <c r="D8" s="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6"/>
  <sheetViews>
    <sheetView workbookViewId="0">
      <selection activeCell="C6" sqref="C6"/>
    </sheetView>
  </sheetViews>
  <sheetFormatPr defaultRowHeight="15" x14ac:dyDescent="0.25"/>
  <cols>
    <col min="1" max="1" width="19.42578125" style="26" customWidth="1"/>
    <col min="2" max="16384" width="9.140625" style="26"/>
  </cols>
  <sheetData>
    <row r="1" spans="1:5" x14ac:dyDescent="0.25">
      <c r="A1" s="26" t="s">
        <v>208</v>
      </c>
    </row>
    <row r="3" spans="1:5" x14ac:dyDescent="0.25">
      <c r="D3" s="10"/>
    </row>
    <row r="4" spans="1:5" x14ac:dyDescent="0.25">
      <c r="E4" s="10"/>
    </row>
    <row r="5" spans="1:5" x14ac:dyDescent="0.25">
      <c r="A5" s="11"/>
      <c r="B5" s="11">
        <v>2020</v>
      </c>
      <c r="C5" s="11">
        <v>2030</v>
      </c>
    </row>
    <row r="6" spans="1:5" x14ac:dyDescent="0.25">
      <c r="A6" s="26" t="s">
        <v>6</v>
      </c>
      <c r="B6" s="8">
        <f>'Pathways Data Alignment'!H7</f>
        <v>62.57</v>
      </c>
      <c r="C6" s="8">
        <f>'Pathways Model'!AO20</f>
        <v>12.493659849549974</v>
      </c>
    </row>
    <row r="7" spans="1:5" x14ac:dyDescent="0.25">
      <c r="A7" s="26" t="s">
        <v>265</v>
      </c>
      <c r="B7" s="8">
        <f>'Pathways Data Alignment'!H21</f>
        <v>155.75</v>
      </c>
      <c r="C7" s="8">
        <f>'Pathways Model'!J20</f>
        <v>82.238985499999998</v>
      </c>
      <c r="D7" s="4"/>
    </row>
    <row r="8" spans="1:5" x14ac:dyDescent="0.25">
      <c r="A8" s="26" t="s">
        <v>264</v>
      </c>
      <c r="B8" s="8">
        <f>'Pathways Data Alignment'!$H$22</f>
        <v>18.55</v>
      </c>
      <c r="C8" s="8">
        <f>'Pathways Data Alignment'!$H$22</f>
        <v>18.55</v>
      </c>
      <c r="D8" s="4"/>
    </row>
    <row r="9" spans="1:5" x14ac:dyDescent="0.25">
      <c r="A9" s="26" t="s">
        <v>263</v>
      </c>
      <c r="B9" s="8">
        <f>'Pathways Data Alignment'!H24</f>
        <v>45.38</v>
      </c>
      <c r="C9" s="8">
        <f>'Pathways Model'!AQ20</f>
        <v>31.765999999999998</v>
      </c>
      <c r="D9" s="4"/>
    </row>
    <row r="10" spans="1:5" x14ac:dyDescent="0.25">
      <c r="A10" s="26" t="s">
        <v>260</v>
      </c>
      <c r="B10" s="8">
        <f>'Pathways Data Alignment'!E32</f>
        <v>29.82</v>
      </c>
      <c r="C10" s="8">
        <f>'Pathways Model'!L20</f>
        <v>19.73032257261411</v>
      </c>
    </row>
    <row r="11" spans="1:5" x14ac:dyDescent="0.25">
      <c r="A11" s="26" t="s">
        <v>257</v>
      </c>
      <c r="B11" s="8">
        <f>'Pathways Data Alignment'!$H$28</f>
        <v>25.94</v>
      </c>
      <c r="C11" s="8">
        <f>'Pathways Data Alignment'!$H$28</f>
        <v>25.94</v>
      </c>
    </row>
    <row r="12" spans="1:5" x14ac:dyDescent="0.25">
      <c r="A12" s="26" t="s">
        <v>262</v>
      </c>
      <c r="B12" s="8">
        <f>'Pathways Data Alignment'!J43</f>
        <v>35.341999999999999</v>
      </c>
      <c r="C12" s="8">
        <f>'Pathways Model'!S20</f>
        <v>19.614810000000002</v>
      </c>
    </row>
    <row r="13" spans="1:5" x14ac:dyDescent="0.25">
      <c r="A13" s="26" t="s">
        <v>258</v>
      </c>
      <c r="B13" s="8">
        <f>'Pathways Data Alignment'!$J$44</f>
        <v>18.317999999999998</v>
      </c>
      <c r="C13" s="8">
        <f>'Pathways Data Alignment'!$J$44</f>
        <v>18.317999999999998</v>
      </c>
    </row>
    <row r="14" spans="1:5" x14ac:dyDescent="0.25">
      <c r="A14" s="26" t="s">
        <v>261</v>
      </c>
      <c r="B14" s="8">
        <f>'Pathways Data Alignment'!H62</f>
        <v>11.62</v>
      </c>
      <c r="C14" s="8">
        <f>'Pathways Model'!AT20</f>
        <v>8.1339999999999986</v>
      </c>
    </row>
    <row r="15" spans="1:5" x14ac:dyDescent="0.25">
      <c r="A15" s="26" t="s">
        <v>259</v>
      </c>
      <c r="B15" s="8">
        <f>'Pathways Data Alignment'!$H$56</f>
        <v>20.79</v>
      </c>
      <c r="C15" s="8">
        <f>'Pathways Data Alignment'!$H$56</f>
        <v>20.79</v>
      </c>
    </row>
    <row r="16" spans="1:5" x14ac:dyDescent="0.25">
      <c r="B16" s="8">
        <f>SUM(B6:B15)</f>
        <v>424.08</v>
      </c>
      <c r="C16" s="8">
        <f>SUM(C6:C15)</f>
        <v>257.57577792216404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6"/>
  <sheetViews>
    <sheetView topLeftCell="A4" workbookViewId="0">
      <selection activeCell="D12" sqref="D12"/>
    </sheetView>
  </sheetViews>
  <sheetFormatPr defaultRowHeight="15" x14ac:dyDescent="0.25"/>
  <cols>
    <col min="1" max="1" width="19.42578125" style="56" customWidth="1"/>
    <col min="2" max="16384" width="9.140625" style="56"/>
  </cols>
  <sheetData>
    <row r="1" spans="1:5" x14ac:dyDescent="0.25">
      <c r="A1" s="56" t="s">
        <v>208</v>
      </c>
    </row>
    <row r="3" spans="1:5" x14ac:dyDescent="0.25">
      <c r="D3" s="10"/>
    </row>
    <row r="4" spans="1:5" x14ac:dyDescent="0.25">
      <c r="E4" s="10"/>
    </row>
    <row r="5" spans="1:5" x14ac:dyDescent="0.25">
      <c r="A5" s="11"/>
      <c r="B5" s="11">
        <v>2030</v>
      </c>
    </row>
    <row r="6" spans="1:5" x14ac:dyDescent="0.25">
      <c r="A6" s="1" t="s">
        <v>305</v>
      </c>
      <c r="B6" s="7">
        <f>'Pathways Model'!BF20</f>
        <v>8.8000000000000007</v>
      </c>
    </row>
    <row r="7" spans="1:5" x14ac:dyDescent="0.25">
      <c r="A7" s="1" t="s">
        <v>302</v>
      </c>
      <c r="B7" s="7">
        <f>'Pathways Model'!BE20</f>
        <v>2.7461904000000001</v>
      </c>
      <c r="D7" s="4"/>
    </row>
    <row r="8" spans="1:5" x14ac:dyDescent="0.25">
      <c r="A8" s="1" t="s">
        <v>301</v>
      </c>
      <c r="B8" s="7">
        <f>'Pathways Model'!BD20</f>
        <v>5.9492232000000014</v>
      </c>
      <c r="D8" s="4"/>
    </row>
    <row r="9" spans="1:5" x14ac:dyDescent="0.25">
      <c r="A9" s="1" t="s">
        <v>300</v>
      </c>
      <c r="B9" s="7">
        <f>'Pathways Model'!BC20</f>
        <v>0.21799999999999997</v>
      </c>
    </row>
    <row r="10" spans="1:5" x14ac:dyDescent="0.25">
      <c r="A10" s="1" t="s">
        <v>317</v>
      </c>
      <c r="B10" s="7">
        <f>'Pathways Model'!BB20</f>
        <v>1.1840000000000004</v>
      </c>
    </row>
    <row r="11" spans="1:5" x14ac:dyDescent="0.25">
      <c r="A11" s="1" t="s">
        <v>298</v>
      </c>
      <c r="B11" s="8">
        <f>'Pathways Model'!BA20</f>
        <v>7.5999999999999988</v>
      </c>
    </row>
    <row r="12" spans="1:5" x14ac:dyDescent="0.25">
      <c r="A12" s="1" t="s">
        <v>297</v>
      </c>
      <c r="B12" s="8">
        <f>'Pathways Model'!AZ20</f>
        <v>36.000000000000007</v>
      </c>
    </row>
    <row r="13" spans="1:5" x14ac:dyDescent="0.25">
      <c r="A13" s="1" t="s">
        <v>296</v>
      </c>
      <c r="B13" s="8">
        <f>'Pathways Model'!AY20</f>
        <v>34.65</v>
      </c>
    </row>
    <row r="14" spans="1:5" x14ac:dyDescent="0.25">
      <c r="A14" s="1" t="s">
        <v>295</v>
      </c>
      <c r="B14" s="7">
        <f>'Pathways Model'!AX20</f>
        <v>5.2448000000000015</v>
      </c>
    </row>
    <row r="15" spans="1:5" x14ac:dyDescent="0.25">
      <c r="B15" s="8">
        <f>SUM(B6:B14)</f>
        <v>102.39221360000001</v>
      </c>
    </row>
    <row r="16" spans="1:5" x14ac:dyDescent="0.25">
      <c r="B16" s="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0"/>
  <sheetViews>
    <sheetView workbookViewId="0">
      <selection activeCell="D2" sqref="D2"/>
    </sheetView>
  </sheetViews>
  <sheetFormatPr defaultRowHeight="15" x14ac:dyDescent="0.25"/>
  <cols>
    <col min="1" max="1" width="14.7109375" style="56" customWidth="1"/>
    <col min="2" max="16384" width="9.140625" style="56"/>
  </cols>
  <sheetData>
    <row r="1" spans="1:5" x14ac:dyDescent="0.25">
      <c r="A1" s="56" t="s">
        <v>208</v>
      </c>
    </row>
    <row r="2" spans="1:5" x14ac:dyDescent="0.25">
      <c r="A2" s="11" t="s">
        <v>3</v>
      </c>
      <c r="B2" s="11" t="s">
        <v>10</v>
      </c>
      <c r="C2" s="11" t="s">
        <v>11</v>
      </c>
      <c r="D2" s="11"/>
      <c r="E2" s="11" t="s">
        <v>13</v>
      </c>
    </row>
    <row r="3" spans="1:5" x14ac:dyDescent="0.25">
      <c r="A3" s="9" t="s">
        <v>12</v>
      </c>
      <c r="B3" s="11"/>
      <c r="C3" s="11"/>
      <c r="D3" s="11"/>
      <c r="E3" s="8">
        <f>'Pathways Model'!$BH$20</f>
        <v>155.18356432216405</v>
      </c>
    </row>
    <row r="4" spans="1:5" x14ac:dyDescent="0.25">
      <c r="A4" s="56" t="s">
        <v>9</v>
      </c>
      <c r="D4" s="8">
        <f>-'Pathways Model'!$BG$20</f>
        <v>-102.39221360000001</v>
      </c>
    </row>
    <row r="5" spans="1:5" x14ac:dyDescent="0.25">
      <c r="A5" s="56" t="s">
        <v>8</v>
      </c>
      <c r="B5" s="8">
        <f>'Pathways Data Alignment'!$H$22+'Pathways Model'!J10</f>
        <v>174.3</v>
      </c>
      <c r="C5" s="8">
        <f>'Pathways Data Alignment'!$H$22+'Pathways Model'!J20</f>
        <v>100.7889855</v>
      </c>
      <c r="D5" s="4"/>
    </row>
    <row r="6" spans="1:5" x14ac:dyDescent="0.25">
      <c r="A6" s="56" t="s">
        <v>7</v>
      </c>
      <c r="B6" s="8">
        <f>'Pathways Data Alignment'!$H$28+'Pathways Data Alignment'!$H$33+'Pathways Model'!$AQ$10+'Pathways Model'!$K$10</f>
        <v>101.13999999999999</v>
      </c>
      <c r="C6" s="8">
        <f>'Pathways Data Alignment'!$H$28+'Pathways Data Alignment'!$H$33+'Pathways Model'!$AQ$20+'Pathways Model'!$K$20</f>
        <v>77.436322572614102</v>
      </c>
      <c r="D6" s="4"/>
    </row>
    <row r="7" spans="1:5" x14ac:dyDescent="0.25">
      <c r="A7" s="56" t="s">
        <v>6</v>
      </c>
      <c r="B7" s="8">
        <f>'Pathways Model'!$AO$10</f>
        <v>62.453403515053587</v>
      </c>
      <c r="C7" s="8">
        <f>'Pathways Model'!$AO$20</f>
        <v>12.493659849549974</v>
      </c>
      <c r="D7" s="4"/>
    </row>
    <row r="8" spans="1:5" x14ac:dyDescent="0.25">
      <c r="A8" s="56" t="s">
        <v>5</v>
      </c>
      <c r="B8" s="8">
        <f>'Pathways Data Alignment'!$J$44+'Pathways Model'!$S$10</f>
        <v>53.66</v>
      </c>
      <c r="C8" s="8">
        <f>'Pathways Data Alignment'!$J$44+'Pathways Model'!$S$20</f>
        <v>37.932810000000003</v>
      </c>
      <c r="D8" s="4"/>
    </row>
    <row r="9" spans="1:5" x14ac:dyDescent="0.25">
      <c r="A9" s="56" t="s">
        <v>4</v>
      </c>
      <c r="B9" s="8">
        <f>'Pathways Data Alignment'!$H$56+'Pathways Model'!$AT$10</f>
        <v>32.409999999999997</v>
      </c>
      <c r="C9" s="8">
        <f>'Pathways Data Alignment'!$H$56+'Pathways Model'!$AT$20</f>
        <v>28.923999999999999</v>
      </c>
      <c r="D9" s="4"/>
    </row>
    <row r="10" spans="1:5" x14ac:dyDescent="0.25">
      <c r="B10" s="8">
        <f>SUM(B5:B9)</f>
        <v>423.96340351505353</v>
      </c>
      <c r="C10" s="8">
        <f>SUM(C5:C9)</f>
        <v>257.57577792216404</v>
      </c>
      <c r="D10"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EF047-8EFF-4257-9DE3-90177C0476D8}">
  <dimension ref="A1"/>
  <sheetViews>
    <sheetView workbookViewId="0">
      <selection activeCell="I1" sqref="I1"/>
    </sheetView>
  </sheetViews>
  <sheetFormatPr defaultRowHeight="15" x14ac:dyDescent="0.25"/>
  <sheetData>
    <row r="1" spans="1:1" x14ac:dyDescent="0.25">
      <c r="A1" s="16" t="s">
        <v>499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8EA54-43F7-4A16-B589-53ADC77CFF20}">
  <dimension ref="A1:F31"/>
  <sheetViews>
    <sheetView zoomScaleNormal="100" workbookViewId="0">
      <selection activeCell="J30" sqref="J30"/>
    </sheetView>
  </sheetViews>
  <sheetFormatPr defaultRowHeight="15" x14ac:dyDescent="0.25"/>
  <sheetData>
    <row r="1" spans="1:1" x14ac:dyDescent="0.25">
      <c r="A1" s="16" t="s">
        <v>502</v>
      </c>
    </row>
    <row r="29" spans="1:6" x14ac:dyDescent="0.25">
      <c r="A29" s="78" t="s">
        <v>569</v>
      </c>
      <c r="F29" s="79" t="s">
        <v>568</v>
      </c>
    </row>
    <row r="31" spans="1:6" x14ac:dyDescent="0.25">
      <c r="A31" s="80" t="s">
        <v>567</v>
      </c>
      <c r="F31" s="79" t="s">
        <v>566</v>
      </c>
    </row>
  </sheetData>
  <hyperlinks>
    <hyperlink ref="F31" r:id="rId1" display="http://hyperphysics.phy-astr.gsu.edu/hbase/thermo/grnhse.html" xr:uid="{FF1CE8B2-105C-4F14-ADD8-B3E779DAE81D}"/>
    <hyperlink ref="F29" r:id="rId2" display="https://theclimatecenter.org/resources/science/" xr:uid="{15328817-80B8-44F2-93E7-99B01B95D38C}"/>
  </hyperlinks>
  <pageMargins left="0.7" right="0.7" top="0.75" bottom="0.75" header="0.3" footer="0.3"/>
  <drawing r:id="rId3"/>
  <legacyDrawing r:id="rId4"/>
  <oleObjects>
    <mc:AlternateContent xmlns:mc="http://schemas.openxmlformats.org/markup-compatibility/2006">
      <mc:Choice Requires="x14">
        <oleObject progId="Paint.Picture" shapeId="3073" r:id="rId5">
          <objectPr defaultSize="0" autoPict="0" r:id="rId6">
            <anchor moveWithCells="1">
              <from>
                <xdr:col>0</xdr:col>
                <xdr:colOff>0</xdr:colOff>
                <xdr:row>32</xdr:row>
                <xdr:rowOff>9525</xdr:rowOff>
              </from>
              <to>
                <xdr:col>14</xdr:col>
                <xdr:colOff>590550</xdr:colOff>
                <xdr:row>66</xdr:row>
                <xdr:rowOff>19050</xdr:rowOff>
              </to>
            </anchor>
          </objectPr>
        </oleObject>
      </mc:Choice>
      <mc:Fallback>
        <oleObject progId="Paint.Picture" shapeId="3073" r:id="rId5"/>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6534C-D813-49A2-AABA-D9B150CDA973}">
  <dimension ref="A1"/>
  <sheetViews>
    <sheetView workbookViewId="0">
      <selection activeCell="F167" sqref="F167"/>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E8429-05BC-4BDB-AEB2-75D38E5B046F}">
  <dimension ref="A1:B23"/>
  <sheetViews>
    <sheetView workbookViewId="0">
      <selection activeCell="H2" sqref="H2"/>
    </sheetView>
  </sheetViews>
  <sheetFormatPr defaultRowHeight="15" x14ac:dyDescent="0.25"/>
  <cols>
    <col min="1" max="1" width="19.7109375" style="76" customWidth="1"/>
    <col min="2" max="2" width="12.28515625" style="76" customWidth="1"/>
    <col min="3" max="16384" width="9.140625" style="76"/>
  </cols>
  <sheetData>
    <row r="1" spans="1:2" x14ac:dyDescent="0.25">
      <c r="A1" s="75" t="s">
        <v>555</v>
      </c>
      <c r="B1" s="75" t="s">
        <v>556</v>
      </c>
    </row>
    <row r="2" spans="1:2" x14ac:dyDescent="0.25">
      <c r="A2" s="77" t="s">
        <v>563</v>
      </c>
      <c r="B2" s="77" t="s">
        <v>570</v>
      </c>
    </row>
    <row r="3" spans="1:2" x14ac:dyDescent="0.25">
      <c r="A3" s="77" t="s">
        <v>549</v>
      </c>
      <c r="B3" s="77" t="s">
        <v>562</v>
      </c>
    </row>
    <row r="4" spans="1:2" x14ac:dyDescent="0.25">
      <c r="A4" s="77" t="s">
        <v>505</v>
      </c>
      <c r="B4" s="77" t="s">
        <v>543</v>
      </c>
    </row>
    <row r="5" spans="1:2" x14ac:dyDescent="0.25">
      <c r="A5" s="77" t="s">
        <v>503</v>
      </c>
      <c r="B5" s="77" t="s">
        <v>541</v>
      </c>
    </row>
    <row r="6" spans="1:2" x14ac:dyDescent="0.25">
      <c r="A6" s="77" t="s">
        <v>509</v>
      </c>
      <c r="B6" s="77" t="s">
        <v>550</v>
      </c>
    </row>
    <row r="7" spans="1:2" x14ac:dyDescent="0.25">
      <c r="A7" s="77" t="s">
        <v>522</v>
      </c>
      <c r="B7" s="77" t="s">
        <v>558</v>
      </c>
    </row>
    <row r="8" spans="1:2" x14ac:dyDescent="0.25">
      <c r="A8" s="77" t="s">
        <v>519</v>
      </c>
      <c r="B8" s="77" t="s">
        <v>553</v>
      </c>
    </row>
    <row r="9" spans="1:2" x14ac:dyDescent="0.25">
      <c r="A9" s="77" t="s">
        <v>145</v>
      </c>
      <c r="B9" s="77" t="s">
        <v>544</v>
      </c>
    </row>
    <row r="10" spans="1:2" x14ac:dyDescent="0.25">
      <c r="A10" s="77" t="s">
        <v>506</v>
      </c>
      <c r="B10" s="77" t="s">
        <v>546</v>
      </c>
    </row>
    <row r="11" spans="1:2" x14ac:dyDescent="0.25">
      <c r="A11" s="77" t="s">
        <v>163</v>
      </c>
      <c r="B11" s="77" t="s">
        <v>551</v>
      </c>
    </row>
    <row r="12" spans="1:2" x14ac:dyDescent="0.25">
      <c r="A12" s="77" t="s">
        <v>136</v>
      </c>
      <c r="B12" s="77" t="s">
        <v>542</v>
      </c>
    </row>
    <row r="13" spans="1:2" x14ac:dyDescent="0.25">
      <c r="A13" s="77" t="s">
        <v>508</v>
      </c>
      <c r="B13" s="77" t="s">
        <v>561</v>
      </c>
    </row>
    <row r="14" spans="1:2" x14ac:dyDescent="0.25">
      <c r="A14" s="77" t="s">
        <v>524</v>
      </c>
      <c r="B14" s="77" t="s">
        <v>554</v>
      </c>
    </row>
    <row r="15" spans="1:2" x14ac:dyDescent="0.25">
      <c r="A15" s="77" t="s">
        <v>144</v>
      </c>
      <c r="B15" s="77" t="s">
        <v>552</v>
      </c>
    </row>
    <row r="16" spans="1:2" x14ac:dyDescent="0.25">
      <c r="A16" s="77" t="s">
        <v>9</v>
      </c>
      <c r="B16" s="77" t="s">
        <v>548</v>
      </c>
    </row>
    <row r="17" spans="1:2" x14ac:dyDescent="0.25">
      <c r="A17" s="77" t="s">
        <v>504</v>
      </c>
      <c r="B17" s="77" t="s">
        <v>557</v>
      </c>
    </row>
    <row r="18" spans="1:2" x14ac:dyDescent="0.25">
      <c r="A18" s="77" t="s">
        <v>146</v>
      </c>
      <c r="B18" s="77" t="s">
        <v>545</v>
      </c>
    </row>
    <row r="19" spans="1:2" x14ac:dyDescent="0.25">
      <c r="A19" s="77" t="s">
        <v>507</v>
      </c>
      <c r="B19" s="77" t="s">
        <v>547</v>
      </c>
    </row>
    <row r="20" spans="1:2" x14ac:dyDescent="0.25">
      <c r="A20" s="77"/>
      <c r="B20" s="77"/>
    </row>
    <row r="21" spans="1:2" x14ac:dyDescent="0.25">
      <c r="A21" s="77"/>
      <c r="B21" s="77"/>
    </row>
    <row r="22" spans="1:2" x14ac:dyDescent="0.25">
      <c r="A22" s="77"/>
      <c r="B22" s="77"/>
    </row>
    <row r="23" spans="1:2" x14ac:dyDescent="0.25">
      <c r="A23" s="77"/>
      <c r="B23" s="77"/>
    </row>
  </sheetData>
  <autoFilter ref="A1:B23" xr:uid="{DBFAC6D2-EC26-4F6E-8CAD-8DA6BF255C07}"/>
  <sortState xmlns:xlrd2="http://schemas.microsoft.com/office/spreadsheetml/2017/richdata2" ref="A3:B23">
    <sortCondition ref="A1:A23"/>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2"/>
  <sheetViews>
    <sheetView zoomScale="90" zoomScaleNormal="90" workbookViewId="0">
      <selection activeCell="L127" sqref="L127"/>
    </sheetView>
  </sheetViews>
  <sheetFormatPr defaultRowHeight="15" x14ac:dyDescent="0.25"/>
  <cols>
    <col min="1" max="1" width="25.140625" customWidth="1"/>
    <col min="2" max="2" width="16.7109375" bestFit="1" customWidth="1"/>
    <col min="10" max="10" width="9.5703125" bestFit="1" customWidth="1"/>
  </cols>
  <sheetData>
    <row r="1" spans="1:6" s="48" customFormat="1" x14ac:dyDescent="0.25">
      <c r="A1" s="20" t="s">
        <v>287</v>
      </c>
    </row>
    <row r="2" spans="1:6" x14ac:dyDescent="0.25">
      <c r="A2" s="16" t="s">
        <v>104</v>
      </c>
    </row>
    <row r="3" spans="1:6" x14ac:dyDescent="0.25">
      <c r="A3" t="s">
        <v>105</v>
      </c>
    </row>
    <row r="4" spans="1:6" x14ac:dyDescent="0.25">
      <c r="A4" t="s">
        <v>94</v>
      </c>
      <c r="B4" s="6">
        <f>'Pathways Data Alignment'!K32*1000000000</f>
        <v>15400000000</v>
      </c>
      <c r="C4" t="s">
        <v>106</v>
      </c>
    </row>
    <row r="5" spans="1:6" x14ac:dyDescent="0.25">
      <c r="A5" t="s">
        <v>107</v>
      </c>
      <c r="B5">
        <v>9.0150000000000006</v>
      </c>
      <c r="C5" t="s">
        <v>108</v>
      </c>
    </row>
    <row r="6" spans="1:6" x14ac:dyDescent="0.25">
      <c r="A6" t="s">
        <v>79</v>
      </c>
      <c r="B6">
        <f>B4*B5</f>
        <v>138831000000</v>
      </c>
      <c r="C6" t="s">
        <v>109</v>
      </c>
    </row>
    <row r="7" spans="1:6" x14ac:dyDescent="0.25">
      <c r="B7" s="24">
        <f>B6/1000</f>
        <v>138831000</v>
      </c>
      <c r="C7" t="s">
        <v>110</v>
      </c>
    </row>
    <row r="8" spans="1:6" x14ac:dyDescent="0.25">
      <c r="B8" s="24">
        <f>B7/1000000</f>
        <v>138.83099999999999</v>
      </c>
      <c r="C8" t="s">
        <v>111</v>
      </c>
      <c r="D8" t="s">
        <v>498</v>
      </c>
    </row>
    <row r="9" spans="1:6" x14ac:dyDescent="0.25">
      <c r="A9" t="s">
        <v>112</v>
      </c>
      <c r="B9">
        <f>'Pathways Data Alignment'!H21</f>
        <v>155.75</v>
      </c>
      <c r="C9" s="15" t="s">
        <v>111</v>
      </c>
      <c r="D9" t="s">
        <v>468</v>
      </c>
    </row>
    <row r="11" spans="1:6" x14ac:dyDescent="0.25">
      <c r="A11" s="16" t="s">
        <v>116</v>
      </c>
    </row>
    <row r="12" spans="1:6" x14ac:dyDescent="0.25">
      <c r="A12" t="s">
        <v>237</v>
      </c>
      <c r="B12">
        <v>33.700000000000003</v>
      </c>
      <c r="C12" s="15" t="s">
        <v>232</v>
      </c>
      <c r="F12" t="s">
        <v>230</v>
      </c>
    </row>
    <row r="13" spans="1:6" x14ac:dyDescent="0.25">
      <c r="A13" t="s">
        <v>233</v>
      </c>
      <c r="B13">
        <v>33.700000000000003</v>
      </c>
      <c r="C13" t="s">
        <v>231</v>
      </c>
    </row>
    <row r="14" spans="1:6" x14ac:dyDescent="0.25">
      <c r="A14" t="s">
        <v>234</v>
      </c>
    </row>
    <row r="15" spans="1:6" x14ac:dyDescent="0.25">
      <c r="B15">
        <v>33.700000000000003</v>
      </c>
      <c r="C15" t="s">
        <v>117</v>
      </c>
    </row>
    <row r="17" spans="1:5" x14ac:dyDescent="0.25">
      <c r="A17" s="16" t="s">
        <v>130</v>
      </c>
    </row>
    <row r="18" spans="1:5" x14ac:dyDescent="0.25">
      <c r="A18" t="s">
        <v>131</v>
      </c>
      <c r="B18" s="29">
        <v>5.4440000000000002E-2</v>
      </c>
      <c r="C18" t="s">
        <v>133</v>
      </c>
    </row>
    <row r="19" spans="1:5" x14ac:dyDescent="0.25">
      <c r="A19" t="s">
        <v>132</v>
      </c>
      <c r="B19" s="29">
        <f>0.00103/1000*25</f>
        <v>2.5750000000000002E-5</v>
      </c>
      <c r="C19" s="23" t="s">
        <v>133</v>
      </c>
    </row>
    <row r="20" spans="1:5" x14ac:dyDescent="0.25">
      <c r="A20" t="s">
        <v>134</v>
      </c>
      <c r="B20" s="29">
        <f>0.0001/1000*298</f>
        <v>2.9800000000000003E-5</v>
      </c>
      <c r="C20" s="23" t="s">
        <v>133</v>
      </c>
    </row>
    <row r="21" spans="1:5" x14ac:dyDescent="0.25">
      <c r="A21" t="s">
        <v>98</v>
      </c>
      <c r="B21" s="29">
        <f>SUM(B18:B20)</f>
        <v>5.4495550000000004E-2</v>
      </c>
      <c r="C21" s="23" t="s">
        <v>133</v>
      </c>
    </row>
    <row r="22" spans="1:5" x14ac:dyDescent="0.25">
      <c r="B22" s="24">
        <f>1000000*B21</f>
        <v>54495.55</v>
      </c>
      <c r="C22" t="s">
        <v>510</v>
      </c>
    </row>
    <row r="23" spans="1:5" x14ac:dyDescent="0.25">
      <c r="B23" s="33">
        <f>B22/1000</f>
        <v>54.495550000000001</v>
      </c>
      <c r="C23" t="s">
        <v>511</v>
      </c>
    </row>
    <row r="24" spans="1:5" x14ac:dyDescent="0.25">
      <c r="A24" t="s">
        <v>463</v>
      </c>
      <c r="B24" s="6">
        <v>1799292</v>
      </c>
      <c r="C24" t="s">
        <v>512</v>
      </c>
      <c r="D24">
        <v>2018</v>
      </c>
      <c r="E24" t="s">
        <v>462</v>
      </c>
    </row>
    <row r="25" spans="1:5" x14ac:dyDescent="0.25">
      <c r="A25" t="s">
        <v>79</v>
      </c>
      <c r="B25" s="32">
        <f>B24*B23</f>
        <v>98053407.150600001</v>
      </c>
      <c r="C25" s="23" t="s">
        <v>135</v>
      </c>
    </row>
    <row r="26" spans="1:5" x14ac:dyDescent="0.25">
      <c r="B26" s="32">
        <f>B25/1000000</f>
        <v>98.053407150599995</v>
      </c>
      <c r="C26" t="s">
        <v>136</v>
      </c>
    </row>
    <row r="27" spans="1:5" s="23" customFormat="1" x14ac:dyDescent="0.25">
      <c r="A27" s="16" t="s">
        <v>241</v>
      </c>
      <c r="B27" s="32"/>
    </row>
    <row r="28" spans="1:5" s="23" customFormat="1" x14ac:dyDescent="0.25">
      <c r="A28" s="23" t="s">
        <v>171</v>
      </c>
      <c r="B28" s="32">
        <v>10.73</v>
      </c>
      <c r="C28" s="23" t="s">
        <v>172</v>
      </c>
    </row>
    <row r="29" spans="1:5" s="23" customFormat="1" x14ac:dyDescent="0.25">
      <c r="A29" s="23" t="s">
        <v>173</v>
      </c>
      <c r="B29" s="32">
        <v>14.7</v>
      </c>
      <c r="C29" s="23" t="s">
        <v>242</v>
      </c>
    </row>
    <row r="30" spans="1:5" s="23" customFormat="1" x14ac:dyDescent="0.25">
      <c r="A30" s="23" t="s">
        <v>174</v>
      </c>
      <c r="B30" s="32">
        <v>1</v>
      </c>
      <c r="C30" s="23" t="s">
        <v>516</v>
      </c>
    </row>
    <row r="31" spans="1:5" s="23" customFormat="1" x14ac:dyDescent="0.25">
      <c r="A31" s="23" t="s">
        <v>175</v>
      </c>
      <c r="B31" s="32">
        <v>60</v>
      </c>
      <c r="C31" s="23" t="s">
        <v>243</v>
      </c>
    </row>
    <row r="32" spans="1:5" s="23" customFormat="1" x14ac:dyDescent="0.25">
      <c r="B32" s="32">
        <f>B31+459</f>
        <v>519</v>
      </c>
      <c r="C32" s="23" t="s">
        <v>176</v>
      </c>
    </row>
    <row r="33" spans="1:4" s="23" customFormat="1" x14ac:dyDescent="0.25">
      <c r="A33" s="23" t="s">
        <v>245</v>
      </c>
      <c r="B33" s="34">
        <f>B29*B30/B28/B32</f>
        <v>2.6396737578718841E-3</v>
      </c>
      <c r="C33" s="23" t="s">
        <v>244</v>
      </c>
      <c r="D33" s="21" t="s">
        <v>178</v>
      </c>
    </row>
    <row r="34" spans="1:4" x14ac:dyDescent="0.25">
      <c r="A34" t="s">
        <v>177</v>
      </c>
      <c r="B34" s="32">
        <v>19</v>
      </c>
      <c r="C34" t="s">
        <v>246</v>
      </c>
    </row>
    <row r="35" spans="1:4" s="23" customFormat="1" x14ac:dyDescent="0.25">
      <c r="A35" s="23" t="s">
        <v>247</v>
      </c>
      <c r="B35" s="29">
        <f>B33*B34</f>
        <v>5.0153801399565795E-2</v>
      </c>
      <c r="C35" s="23" t="s">
        <v>517</v>
      </c>
    </row>
    <row r="36" spans="1:4" s="23" customFormat="1" x14ac:dyDescent="0.25">
      <c r="B36" s="29">
        <f>B35/2.2</f>
        <v>2.2797182454348086E-2</v>
      </c>
      <c r="C36" s="23" t="s">
        <v>179</v>
      </c>
    </row>
    <row r="37" spans="1:4" s="23" customFormat="1" x14ac:dyDescent="0.25">
      <c r="B37" s="24">
        <f>B36*1000000</f>
        <v>22797.182454348087</v>
      </c>
      <c r="C37" s="23" t="s">
        <v>180</v>
      </c>
    </row>
    <row r="38" spans="1:4" s="23" customFormat="1" x14ac:dyDescent="0.25">
      <c r="B38" s="32">
        <f>B37/1000</f>
        <v>22.797182454348086</v>
      </c>
      <c r="C38" s="23" t="s">
        <v>523</v>
      </c>
    </row>
    <row r="39" spans="1:4" s="23" customFormat="1" x14ac:dyDescent="0.25"/>
    <row r="40" spans="1:4" x14ac:dyDescent="0.25">
      <c r="A40" s="16" t="s">
        <v>137</v>
      </c>
    </row>
    <row r="41" spans="1:4" x14ac:dyDescent="0.25">
      <c r="A41" t="s">
        <v>138</v>
      </c>
      <c r="B41">
        <v>1.026E-3</v>
      </c>
      <c r="C41" t="s">
        <v>139</v>
      </c>
    </row>
    <row r="42" spans="1:4" x14ac:dyDescent="0.25">
      <c r="B42">
        <f>B41*1000000</f>
        <v>1026</v>
      </c>
      <c r="C42" t="s">
        <v>140</v>
      </c>
    </row>
    <row r="43" spans="1:4" x14ac:dyDescent="0.25">
      <c r="B43">
        <v>3412</v>
      </c>
      <c r="C43" t="s">
        <v>141</v>
      </c>
    </row>
    <row r="44" spans="1:4" x14ac:dyDescent="0.25">
      <c r="B44" s="30">
        <f>B42/B43</f>
        <v>0.3007033997655334</v>
      </c>
      <c r="C44" t="s">
        <v>142</v>
      </c>
    </row>
    <row r="45" spans="1:4" x14ac:dyDescent="0.25">
      <c r="B45" s="24">
        <f>B44*1000000</f>
        <v>300703.3997655334</v>
      </c>
      <c r="C45" t="s">
        <v>168</v>
      </c>
    </row>
    <row r="46" spans="1:4" s="23" customFormat="1" x14ac:dyDescent="0.25">
      <c r="B46" s="35">
        <f>B45/1000000000</f>
        <v>3.0070339976553338E-4</v>
      </c>
      <c r="C46" s="23" t="s">
        <v>169</v>
      </c>
    </row>
    <row r="47" spans="1:4" x14ac:dyDescent="0.25">
      <c r="A47" t="s">
        <v>143</v>
      </c>
    </row>
    <row r="48" spans="1:4" x14ac:dyDescent="0.25">
      <c r="A48" t="s">
        <v>521</v>
      </c>
      <c r="B48">
        <f>B24*1000000</f>
        <v>1799292000000</v>
      </c>
      <c r="C48" t="s">
        <v>513</v>
      </c>
      <c r="D48" t="s">
        <v>518</v>
      </c>
    </row>
    <row r="49" spans="1:4" x14ac:dyDescent="0.25">
      <c r="B49" s="10">
        <v>0.36</v>
      </c>
      <c r="C49" t="s">
        <v>147</v>
      </c>
      <c r="D49" t="s">
        <v>520</v>
      </c>
    </row>
    <row r="50" spans="1:4" s="23" customFormat="1" x14ac:dyDescent="0.25">
      <c r="B50" s="23">
        <f>B48*B49</f>
        <v>647745120000</v>
      </c>
      <c r="C50" s="23" t="s">
        <v>513</v>
      </c>
    </row>
    <row r="51" spans="1:4" s="23" customFormat="1" x14ac:dyDescent="0.25">
      <c r="B51" s="24">
        <f>B50/1000000</f>
        <v>647745.12</v>
      </c>
      <c r="C51" s="23" t="s">
        <v>512</v>
      </c>
    </row>
    <row r="52" spans="1:4" x14ac:dyDescent="0.25">
      <c r="B52">
        <f>B50*B44</f>
        <v>194779159765.53342</v>
      </c>
      <c r="C52" t="s">
        <v>514</v>
      </c>
    </row>
    <row r="53" spans="1:4" x14ac:dyDescent="0.25">
      <c r="B53" s="7">
        <f>B52/1000000000</f>
        <v>194.77915976553342</v>
      </c>
      <c r="C53" t="s">
        <v>515</v>
      </c>
    </row>
    <row r="54" spans="1:4" x14ac:dyDescent="0.25">
      <c r="B54">
        <v>3</v>
      </c>
      <c r="C54" t="s">
        <v>148</v>
      </c>
    </row>
    <row r="55" spans="1:4" x14ac:dyDescent="0.25">
      <c r="B55" s="4">
        <f>B53/B54</f>
        <v>64.926386588511136</v>
      </c>
      <c r="C55" s="23" t="s">
        <v>515</v>
      </c>
    </row>
    <row r="56" spans="1:4" x14ac:dyDescent="0.25">
      <c r="B56" s="7"/>
    </row>
    <row r="57" spans="1:4" s="23" customFormat="1" x14ac:dyDescent="0.25">
      <c r="A57" s="16" t="s">
        <v>181</v>
      </c>
      <c r="B57" s="7"/>
    </row>
    <row r="58" spans="1:4" s="23" customFormat="1" x14ac:dyDescent="0.25">
      <c r="A58" s="23" t="s">
        <v>191</v>
      </c>
      <c r="B58" s="7"/>
    </row>
    <row r="59" spans="1:4" s="26" customFormat="1" x14ac:dyDescent="0.25">
      <c r="A59" s="26" t="s">
        <v>253</v>
      </c>
      <c r="B59" s="7"/>
    </row>
    <row r="60" spans="1:4" s="26" customFormat="1" x14ac:dyDescent="0.25">
      <c r="A60" s="11" t="s">
        <v>187</v>
      </c>
      <c r="B60" s="7"/>
    </row>
    <row r="61" spans="1:4" s="23" customFormat="1" x14ac:dyDescent="0.25">
      <c r="A61" s="23" t="s">
        <v>186</v>
      </c>
      <c r="B61" s="4">
        <v>1.2</v>
      </c>
      <c r="C61" s="23" t="s">
        <v>188</v>
      </c>
    </row>
    <row r="62" spans="1:4" s="23" customFormat="1" x14ac:dyDescent="0.25">
      <c r="A62" s="23" t="s">
        <v>183</v>
      </c>
      <c r="B62" s="4">
        <v>2.0299999999999998</v>
      </c>
      <c r="C62" s="26" t="s">
        <v>188</v>
      </c>
    </row>
    <row r="63" spans="1:4" s="23" customFormat="1" x14ac:dyDescent="0.25">
      <c r="A63" s="23" t="s">
        <v>184</v>
      </c>
      <c r="B63" s="4">
        <f>B62-B61</f>
        <v>0.82999999999999985</v>
      </c>
      <c r="C63" s="26" t="s">
        <v>188</v>
      </c>
    </row>
    <row r="64" spans="1:4" s="26" customFormat="1" x14ac:dyDescent="0.25">
      <c r="A64" s="11" t="s">
        <v>182</v>
      </c>
      <c r="B64" s="4"/>
    </row>
    <row r="65" spans="1:5" s="26" customFormat="1" x14ac:dyDescent="0.25">
      <c r="A65" s="26" t="s">
        <v>186</v>
      </c>
      <c r="B65" s="4">
        <v>1.75</v>
      </c>
      <c r="C65" s="26" t="s">
        <v>188</v>
      </c>
    </row>
    <row r="66" spans="1:5" s="26" customFormat="1" x14ac:dyDescent="0.25">
      <c r="A66" s="26" t="s">
        <v>183</v>
      </c>
      <c r="B66" s="4">
        <v>2.8</v>
      </c>
      <c r="C66" s="26" t="s">
        <v>188</v>
      </c>
    </row>
    <row r="67" spans="1:5" s="26" customFormat="1" x14ac:dyDescent="0.25">
      <c r="A67" s="26" t="s">
        <v>184</v>
      </c>
      <c r="B67" s="4">
        <f>B66-B65</f>
        <v>1.0499999999999998</v>
      </c>
      <c r="C67" s="26" t="s">
        <v>188</v>
      </c>
    </row>
    <row r="68" spans="1:5" s="23" customFormat="1" x14ac:dyDescent="0.25">
      <c r="A68" s="11" t="s">
        <v>190</v>
      </c>
      <c r="B68" s="12"/>
    </row>
    <row r="69" spans="1:5" x14ac:dyDescent="0.25">
      <c r="A69" t="s">
        <v>6</v>
      </c>
      <c r="B69" s="4">
        <f>B65-B61</f>
        <v>0.55000000000000004</v>
      </c>
      <c r="C69" s="26" t="s">
        <v>188</v>
      </c>
    </row>
    <row r="70" spans="1:5" s="23" customFormat="1" x14ac:dyDescent="0.25">
      <c r="A70" s="23" t="s">
        <v>189</v>
      </c>
      <c r="B70" s="4">
        <f>B67-B63</f>
        <v>0.21999999999999997</v>
      </c>
      <c r="C70" s="26" t="s">
        <v>188</v>
      </c>
    </row>
    <row r="71" spans="1:5" s="26" customFormat="1" x14ac:dyDescent="0.25">
      <c r="A71" s="26" t="s">
        <v>192</v>
      </c>
      <c r="B71" s="26">
        <v>0.22</v>
      </c>
      <c r="C71" s="26" t="s">
        <v>193</v>
      </c>
    </row>
    <row r="72" spans="1:5" s="26" customFormat="1" x14ac:dyDescent="0.25">
      <c r="A72" s="26" t="s">
        <v>194</v>
      </c>
      <c r="B72" s="26">
        <f>B69/B71</f>
        <v>2.5</v>
      </c>
      <c r="C72" s="26" t="s">
        <v>195</v>
      </c>
      <c r="E72" s="26" t="s">
        <v>252</v>
      </c>
    </row>
    <row r="73" spans="1:5" s="26" customFormat="1" x14ac:dyDescent="0.25">
      <c r="A73" s="26" t="s">
        <v>196</v>
      </c>
      <c r="B73" s="26">
        <f>B70/B72</f>
        <v>8.7999999999999995E-2</v>
      </c>
      <c r="C73" s="26" t="s">
        <v>193</v>
      </c>
    </row>
    <row r="74" spans="1:5" s="26" customFormat="1" x14ac:dyDescent="0.25">
      <c r="B74" s="26">
        <f>B73*1000000</f>
        <v>88000</v>
      </c>
      <c r="C74" s="26" t="s">
        <v>197</v>
      </c>
    </row>
    <row r="75" spans="1:5" s="26" customFormat="1" x14ac:dyDescent="0.25">
      <c r="B75" s="26">
        <f>B74/1000000</f>
        <v>8.7999999999999995E-2</v>
      </c>
      <c r="C75" s="26" t="s">
        <v>198</v>
      </c>
    </row>
    <row r="76" spans="1:5" s="26" customFormat="1" x14ac:dyDescent="0.25"/>
    <row r="77" spans="1:5" x14ac:dyDescent="0.25">
      <c r="A77" s="16" t="s">
        <v>461</v>
      </c>
    </row>
    <row r="78" spans="1:5" x14ac:dyDescent="0.25">
      <c r="A78" t="s">
        <v>62</v>
      </c>
      <c r="B78">
        <v>30.4</v>
      </c>
      <c r="C78" t="s">
        <v>111</v>
      </c>
      <c r="D78" t="s">
        <v>456</v>
      </c>
    </row>
    <row r="79" spans="1:5" x14ac:dyDescent="0.25">
      <c r="A79" t="s">
        <v>150</v>
      </c>
      <c r="B79" s="10">
        <v>0.78</v>
      </c>
      <c r="C79" t="s">
        <v>151</v>
      </c>
    </row>
    <row r="80" spans="1:5" x14ac:dyDescent="0.25">
      <c r="B80">
        <f>B78*B79</f>
        <v>23.712</v>
      </c>
      <c r="C80" s="23" t="s">
        <v>111</v>
      </c>
      <c r="D80" t="s">
        <v>457</v>
      </c>
    </row>
    <row r="81" spans="1:5" x14ac:dyDescent="0.25">
      <c r="A81" t="s">
        <v>152</v>
      </c>
      <c r="B81">
        <v>23.3</v>
      </c>
      <c r="C81" t="s">
        <v>111</v>
      </c>
      <c r="D81" t="s">
        <v>458</v>
      </c>
    </row>
    <row r="82" spans="1:5" x14ac:dyDescent="0.25">
      <c r="A82" s="23" t="s">
        <v>150</v>
      </c>
      <c r="B82" s="10">
        <v>0.5</v>
      </c>
      <c r="C82" s="23" t="s">
        <v>459</v>
      </c>
    </row>
    <row r="83" spans="1:5" x14ac:dyDescent="0.25">
      <c r="B83" s="23">
        <f>B81*B82</f>
        <v>11.65</v>
      </c>
      <c r="C83" s="23" t="s">
        <v>111</v>
      </c>
    </row>
    <row r="84" spans="1:5" x14ac:dyDescent="0.25">
      <c r="A84" t="s">
        <v>153</v>
      </c>
      <c r="B84">
        <f>B80+B83</f>
        <v>35.362000000000002</v>
      </c>
      <c r="C84" t="s">
        <v>460</v>
      </c>
    </row>
    <row r="85" spans="1:5" x14ac:dyDescent="0.25">
      <c r="A85" t="s">
        <v>154</v>
      </c>
      <c r="B85" s="32">
        <f>B26</f>
        <v>98.053407150599995</v>
      </c>
      <c r="C85" t="s">
        <v>155</v>
      </c>
      <c r="E85" t="s">
        <v>464</v>
      </c>
    </row>
    <row r="86" spans="1:5" x14ac:dyDescent="0.25">
      <c r="A86" s="23" t="s">
        <v>153</v>
      </c>
      <c r="B86" s="10">
        <f>B49</f>
        <v>0.36</v>
      </c>
      <c r="C86" t="s">
        <v>156</v>
      </c>
      <c r="E86" t="s">
        <v>465</v>
      </c>
    </row>
    <row r="87" spans="1:5" x14ac:dyDescent="0.25">
      <c r="A87" s="23" t="s">
        <v>153</v>
      </c>
      <c r="B87" s="32">
        <f>B85*B86</f>
        <v>35.299226574216</v>
      </c>
      <c r="C87" t="s">
        <v>466</v>
      </c>
      <c r="D87" t="s">
        <v>467</v>
      </c>
    </row>
    <row r="89" spans="1:5" x14ac:dyDescent="0.25">
      <c r="A89" s="16" t="s">
        <v>362</v>
      </c>
    </row>
    <row r="90" spans="1:5" x14ac:dyDescent="0.25">
      <c r="A90" t="s">
        <v>353</v>
      </c>
      <c r="B90" s="24">
        <v>8000</v>
      </c>
      <c r="C90" t="s">
        <v>344</v>
      </c>
    </row>
    <row r="91" spans="1:5" s="62" customFormat="1" x14ac:dyDescent="0.25">
      <c r="A91" s="62" t="s">
        <v>352</v>
      </c>
      <c r="B91" s="24">
        <v>1300</v>
      </c>
      <c r="C91" s="62" t="s">
        <v>177</v>
      </c>
    </row>
    <row r="92" spans="1:5" s="62" customFormat="1" x14ac:dyDescent="0.25">
      <c r="A92" s="62" t="s">
        <v>354</v>
      </c>
      <c r="B92" s="24">
        <f>2*B91</f>
        <v>2600</v>
      </c>
      <c r="C92" s="62" t="s">
        <v>177</v>
      </c>
    </row>
    <row r="93" spans="1:5" s="62" customFormat="1" x14ac:dyDescent="0.25">
      <c r="A93" s="62" t="s">
        <v>355</v>
      </c>
      <c r="B93" s="24">
        <f>B90+B92</f>
        <v>10600</v>
      </c>
      <c r="C93" s="62" t="s">
        <v>177</v>
      </c>
      <c r="D93" s="62" t="s">
        <v>356</v>
      </c>
    </row>
    <row r="94" spans="1:5" x14ac:dyDescent="0.25">
      <c r="A94" t="s">
        <v>346</v>
      </c>
      <c r="B94" s="24">
        <v>26700</v>
      </c>
      <c r="C94" t="s">
        <v>345</v>
      </c>
    </row>
    <row r="95" spans="1:5" s="62" customFormat="1" x14ac:dyDescent="0.25">
      <c r="A95" s="62" t="s">
        <v>357</v>
      </c>
      <c r="B95" s="24">
        <f>B94-B93</f>
        <v>16100</v>
      </c>
      <c r="C95" s="62" t="s">
        <v>345</v>
      </c>
      <c r="D95" s="62" t="s">
        <v>358</v>
      </c>
    </row>
    <row r="96" spans="1:5" s="62" customFormat="1" x14ac:dyDescent="0.25">
      <c r="A96" s="62" t="s">
        <v>359</v>
      </c>
      <c r="B96" s="24">
        <f>B95*B100</f>
        <v>28340823.970037453</v>
      </c>
      <c r="C96" s="62" t="s">
        <v>360</v>
      </c>
    </row>
    <row r="97" spans="1:11" s="62" customFormat="1" x14ac:dyDescent="0.25">
      <c r="B97" s="31">
        <f>B96/1000000</f>
        <v>28.340823970037452</v>
      </c>
      <c r="C97" s="62" t="s">
        <v>361</v>
      </c>
    </row>
    <row r="98" spans="1:11" x14ac:dyDescent="0.25">
      <c r="A98" t="s">
        <v>347</v>
      </c>
      <c r="B98" s="24">
        <v>47000</v>
      </c>
      <c r="C98" t="s">
        <v>348</v>
      </c>
    </row>
    <row r="99" spans="1:11" x14ac:dyDescent="0.25">
      <c r="B99" s="24">
        <f>B98*1000</f>
        <v>47000000</v>
      </c>
      <c r="C99" t="s">
        <v>350</v>
      </c>
    </row>
    <row r="100" spans="1:11" x14ac:dyDescent="0.25">
      <c r="A100" t="s">
        <v>349</v>
      </c>
      <c r="B100" s="8">
        <f>B99/B94</f>
        <v>1760.2996254681648</v>
      </c>
      <c r="C100" t="s">
        <v>351</v>
      </c>
    </row>
    <row r="102" spans="1:11" x14ac:dyDescent="0.25">
      <c r="A102" s="16" t="s">
        <v>455</v>
      </c>
    </row>
    <row r="103" spans="1:11" x14ac:dyDescent="0.25">
      <c r="A103" t="s">
        <v>366</v>
      </c>
      <c r="B103" s="24">
        <v>20000</v>
      </c>
      <c r="C103" t="s">
        <v>368</v>
      </c>
    </row>
    <row r="104" spans="1:11" x14ac:dyDescent="0.25">
      <c r="A104" t="s">
        <v>367</v>
      </c>
      <c r="B104" s="24">
        <v>82000</v>
      </c>
      <c r="C104" t="s">
        <v>368</v>
      </c>
    </row>
    <row r="105" spans="1:11" x14ac:dyDescent="0.25">
      <c r="A105" t="s">
        <v>369</v>
      </c>
      <c r="B105" s="5">
        <f>B104-B103</f>
        <v>62000</v>
      </c>
      <c r="C105" t="s">
        <v>371</v>
      </c>
    </row>
    <row r="106" spans="1:11" x14ac:dyDescent="0.25">
      <c r="A106" t="s">
        <v>370</v>
      </c>
      <c r="B106" s="5">
        <f>ROUND(B105/0.9,-3)</f>
        <v>69000</v>
      </c>
      <c r="C106" t="s">
        <v>372</v>
      </c>
    </row>
    <row r="108" spans="1:11" x14ac:dyDescent="0.25">
      <c r="A108" s="16" t="s">
        <v>497</v>
      </c>
      <c r="B108" s="63"/>
      <c r="C108" s="63"/>
      <c r="D108" s="63"/>
      <c r="E108" s="63"/>
      <c r="F108" s="63"/>
      <c r="G108" s="63"/>
      <c r="H108" s="63"/>
      <c r="I108" s="63"/>
      <c r="J108" s="63"/>
      <c r="K108" s="63"/>
    </row>
    <row r="109" spans="1:11" x14ac:dyDescent="0.25">
      <c r="A109" s="63"/>
      <c r="B109" s="63"/>
      <c r="C109" s="63"/>
      <c r="D109" s="63"/>
      <c r="E109" s="63"/>
      <c r="F109" s="63"/>
      <c r="G109" s="63"/>
      <c r="H109" s="63"/>
      <c r="I109" s="63"/>
      <c r="J109" s="63"/>
      <c r="K109" s="63"/>
    </row>
    <row r="110" spans="1:11" x14ac:dyDescent="0.25">
      <c r="A110" s="11" t="s">
        <v>394</v>
      </c>
      <c r="B110" s="2" t="s">
        <v>391</v>
      </c>
      <c r="C110" s="11" t="s">
        <v>393</v>
      </c>
      <c r="D110" s="11" t="s">
        <v>388</v>
      </c>
      <c r="E110" s="11" t="s">
        <v>390</v>
      </c>
      <c r="F110" s="11" t="s">
        <v>481</v>
      </c>
      <c r="G110" s="11" t="s">
        <v>387</v>
      </c>
      <c r="H110" s="11" t="s">
        <v>389</v>
      </c>
      <c r="I110" s="63"/>
      <c r="J110" s="63"/>
      <c r="K110" s="63"/>
    </row>
    <row r="111" spans="1:11" x14ac:dyDescent="0.25">
      <c r="A111" s="63" t="s">
        <v>384</v>
      </c>
      <c r="B111" s="63">
        <v>2.21</v>
      </c>
      <c r="C111" s="63">
        <v>0.91</v>
      </c>
      <c r="D111" s="63">
        <v>2.13</v>
      </c>
      <c r="E111" s="63">
        <v>0</v>
      </c>
      <c r="F111" s="63">
        <v>0</v>
      </c>
      <c r="G111" s="63">
        <v>0.91</v>
      </c>
      <c r="H111" s="63">
        <v>0</v>
      </c>
      <c r="I111" s="63"/>
      <c r="J111" s="63"/>
      <c r="K111" s="63"/>
    </row>
    <row r="112" spans="1:11" x14ac:dyDescent="0.25">
      <c r="A112" s="63" t="s">
        <v>386</v>
      </c>
      <c r="B112" s="4">
        <f>B111/2.2/10000000000*10000000000</f>
        <v>1.0045454545454544</v>
      </c>
      <c r="C112" s="4">
        <f t="shared" ref="C112:D112" si="0">C111/2.2/10000000000*10000000000</f>
        <v>0.41363636363636364</v>
      </c>
      <c r="D112" s="4">
        <f t="shared" si="0"/>
        <v>0.96818181818181803</v>
      </c>
      <c r="E112" s="63">
        <v>0</v>
      </c>
      <c r="F112" s="63">
        <v>0</v>
      </c>
      <c r="G112" s="4">
        <f t="shared" ref="G112" si="1">G111/2.2/10000000000*10000000000</f>
        <v>0.41363636363636364</v>
      </c>
      <c r="H112" s="63">
        <v>0</v>
      </c>
      <c r="I112" s="63"/>
      <c r="J112" s="63"/>
      <c r="K112" s="63"/>
    </row>
    <row r="113" spans="1:11" x14ac:dyDescent="0.25">
      <c r="A113" s="2" t="s">
        <v>0</v>
      </c>
      <c r="B113" s="81" t="s">
        <v>395</v>
      </c>
      <c r="C113" s="81"/>
      <c r="D113" s="81"/>
      <c r="E113" s="81"/>
      <c r="F113" s="81"/>
      <c r="G113" s="81"/>
      <c r="H113" s="81"/>
      <c r="I113" s="11" t="s">
        <v>453</v>
      </c>
      <c r="K113" s="63"/>
    </row>
    <row r="114" spans="1:11" x14ac:dyDescent="0.25">
      <c r="A114" s="63">
        <v>2020</v>
      </c>
      <c r="B114" s="65">
        <v>2.9600000000000001E-2</v>
      </c>
      <c r="C114" s="65">
        <f t="shared" ref="C114:C121" si="2">IF((100%-B114-D114-E114-F114-G114-H114)&lt;0,0,(100%-B114-D114-E114-F114-G114-H114))</f>
        <v>0.34239999999999998</v>
      </c>
      <c r="D114" s="65">
        <v>1.6000000000000001E-3</v>
      </c>
      <c r="E114" s="65">
        <v>8.9800000000000005E-2</v>
      </c>
      <c r="F114" s="65">
        <v>0.1462</v>
      </c>
      <c r="G114" s="65">
        <v>7.3400000000000007E-2</v>
      </c>
      <c r="H114" s="66">
        <v>0.317</v>
      </c>
      <c r="I114" s="30">
        <f t="array" ref="I114">SUM($B$112:$H$112*B114:H114)</f>
        <v>0.20327363636363638</v>
      </c>
      <c r="J114" s="30"/>
      <c r="K114" s="63"/>
    </row>
    <row r="115" spans="1:11" x14ac:dyDescent="0.25">
      <c r="A115" s="63">
        <v>2021</v>
      </c>
      <c r="B115" s="65">
        <v>2.9600000000000001E-2</v>
      </c>
      <c r="C115" s="65">
        <f t="shared" si="2"/>
        <v>0.30409999999999998</v>
      </c>
      <c r="D115" s="65">
        <f>IF(C114&gt;15%,0.16%,0)</f>
        <v>1.6000000000000001E-3</v>
      </c>
      <c r="E115" s="65">
        <v>8.9800000000000005E-2</v>
      </c>
      <c r="F115" s="65">
        <v>0.1462</v>
      </c>
      <c r="G115" s="65">
        <f>7.34%*((100%-IF(H115&lt;40%,40%,H115))/60%)</f>
        <v>7.3399999999999993E-2</v>
      </c>
      <c r="H115" s="66">
        <f>H114+($H$124-$H$114)*0.1</f>
        <v>0.3553</v>
      </c>
      <c r="I115" s="30">
        <f t="array" ref="I115">SUM($B$112:$H$112*B115:H115)</f>
        <v>0.18743136363636362</v>
      </c>
      <c r="J115" s="30"/>
      <c r="K115" s="63"/>
    </row>
    <row r="116" spans="1:11" x14ac:dyDescent="0.25">
      <c r="A116" s="63">
        <v>2022</v>
      </c>
      <c r="B116" s="65">
        <v>2.9600000000000001E-2</v>
      </c>
      <c r="C116" s="65">
        <f t="shared" si="2"/>
        <v>0.26579999999999998</v>
      </c>
      <c r="D116" s="65">
        <f t="shared" ref="D116:D124" si="3">IF(C115&gt;15%,0.16%,0)</f>
        <v>1.6000000000000001E-3</v>
      </c>
      <c r="E116" s="65">
        <v>8.9800000000000005E-2</v>
      </c>
      <c r="F116" s="65">
        <v>0.1462</v>
      </c>
      <c r="G116" s="65">
        <f t="shared" ref="G116:G124" si="4">7.34%*((100%-IF(H116&lt;40%,40%,H116))/60%)</f>
        <v>7.3399999999999993E-2</v>
      </c>
      <c r="H116" s="66">
        <f t="shared" ref="H116:H123" si="5">H115+($H$124-$H$114)*0.1</f>
        <v>0.39360000000000001</v>
      </c>
      <c r="I116" s="30">
        <f t="array" ref="I116">SUM($B$112:$H$112*B116:H116)</f>
        <v>0.17158909090909089</v>
      </c>
      <c r="J116" s="30"/>
      <c r="K116" s="63"/>
    </row>
    <row r="117" spans="1:11" x14ac:dyDescent="0.25">
      <c r="A117" s="63">
        <v>2023</v>
      </c>
      <c r="B117" s="65">
        <v>2.9600000000000001E-2</v>
      </c>
      <c r="C117" s="65">
        <f t="shared" si="2"/>
        <v>0.23140243333333338</v>
      </c>
      <c r="D117" s="65">
        <f t="shared" si="3"/>
        <v>1.6000000000000001E-3</v>
      </c>
      <c r="E117" s="65">
        <v>8.9800000000000005E-2</v>
      </c>
      <c r="F117" s="65">
        <v>0.1462</v>
      </c>
      <c r="G117" s="65">
        <f t="shared" si="4"/>
        <v>6.9497566666666663E-2</v>
      </c>
      <c r="H117" s="66">
        <f t="shared" si="5"/>
        <v>0.43190000000000001</v>
      </c>
      <c r="I117" s="30">
        <f t="array" ref="I117">SUM($B$112:$H$112*B117:H117)</f>
        <v>0.15574681818181821</v>
      </c>
      <c r="J117" s="30"/>
      <c r="K117" s="63"/>
    </row>
    <row r="118" spans="1:11" x14ac:dyDescent="0.25">
      <c r="A118" s="63">
        <v>2024</v>
      </c>
      <c r="B118" s="65">
        <v>2.9600000000000001E-2</v>
      </c>
      <c r="C118" s="65">
        <f t="shared" si="2"/>
        <v>0.19778780000000001</v>
      </c>
      <c r="D118" s="65">
        <f t="shared" si="3"/>
        <v>1.6000000000000001E-3</v>
      </c>
      <c r="E118" s="65">
        <v>8.9800000000000005E-2</v>
      </c>
      <c r="F118" s="65">
        <v>0.1462</v>
      </c>
      <c r="G118" s="65">
        <f t="shared" si="4"/>
        <v>6.48122E-2</v>
      </c>
      <c r="H118" s="66">
        <f t="shared" si="5"/>
        <v>0.47020000000000001</v>
      </c>
      <c r="I118" s="30">
        <f t="array" ref="I118">SUM($B$112:$H$112*B118:H118)</f>
        <v>0.13990454545454545</v>
      </c>
      <c r="J118" s="30"/>
      <c r="K118" s="63"/>
    </row>
    <row r="119" spans="1:11" x14ac:dyDescent="0.25">
      <c r="A119" s="63">
        <v>2025</v>
      </c>
      <c r="B119" s="10">
        <v>0</v>
      </c>
      <c r="C119" s="65">
        <f t="shared" si="2"/>
        <v>0.25357316666666663</v>
      </c>
      <c r="D119" s="65">
        <f t="shared" si="3"/>
        <v>1.6000000000000001E-3</v>
      </c>
      <c r="E119" s="10">
        <f>IF(C118&gt;9%, 3%,0)</f>
        <v>0.03</v>
      </c>
      <c r="F119" s="65">
        <f>14.62%*((100%-IF(H119&lt;70%,70%,H119))/30%)</f>
        <v>0.14620000000000002</v>
      </c>
      <c r="G119" s="65">
        <f t="shared" si="4"/>
        <v>6.0126833333333338E-2</v>
      </c>
      <c r="H119" s="66">
        <f t="shared" si="5"/>
        <v>0.50849999999999995</v>
      </c>
      <c r="I119" s="30">
        <f t="array" ref="I119">SUM($B$112:$H$112*B119:H119)</f>
        <v>0.13130681818181816</v>
      </c>
      <c r="J119" s="30"/>
      <c r="K119" s="63"/>
    </row>
    <row r="120" spans="1:11" x14ac:dyDescent="0.25">
      <c r="A120" s="63">
        <v>2026</v>
      </c>
      <c r="B120" s="63"/>
      <c r="C120" s="65">
        <f t="shared" si="2"/>
        <v>0.21995853333333326</v>
      </c>
      <c r="D120" s="65">
        <f t="shared" si="3"/>
        <v>1.6000000000000001E-3</v>
      </c>
      <c r="E120" s="10">
        <f t="shared" ref="E120:E124" si="6">IF(C119&gt;9%, 3%,0)</f>
        <v>0.03</v>
      </c>
      <c r="F120" s="65">
        <f t="shared" ref="F120:F124" si="7">14.62%*((100%-IF(H120&lt;70%,70%,H120))/30%)</f>
        <v>0.14620000000000002</v>
      </c>
      <c r="G120" s="65">
        <f t="shared" si="4"/>
        <v>5.5441466666666668E-2</v>
      </c>
      <c r="H120" s="66">
        <f t="shared" si="5"/>
        <v>0.54679999999999995</v>
      </c>
      <c r="I120" s="30">
        <f t="array" ref="I120">SUM($B$112:$H$112*B120:H120)</f>
        <v>0.11546454545454543</v>
      </c>
      <c r="J120" s="30"/>
      <c r="K120" s="63"/>
    </row>
    <row r="121" spans="1:11" x14ac:dyDescent="0.25">
      <c r="A121" s="63">
        <v>2027</v>
      </c>
      <c r="B121" s="63"/>
      <c r="C121" s="65">
        <f t="shared" si="2"/>
        <v>0.18634390000000001</v>
      </c>
      <c r="D121" s="65">
        <f t="shared" si="3"/>
        <v>1.6000000000000001E-3</v>
      </c>
      <c r="E121" s="10">
        <f t="shared" si="6"/>
        <v>0.03</v>
      </c>
      <c r="F121" s="65">
        <f t="shared" si="7"/>
        <v>0.14620000000000002</v>
      </c>
      <c r="G121" s="65">
        <f t="shared" si="4"/>
        <v>5.0756100000000005E-2</v>
      </c>
      <c r="H121" s="66">
        <f t="shared" si="5"/>
        <v>0.58509999999999995</v>
      </c>
      <c r="I121" s="30">
        <f t="array" ref="I121">SUM($B$112:$H$112*B121:H121)</f>
        <v>9.9622272727272726E-2</v>
      </c>
      <c r="J121" s="30"/>
      <c r="K121" s="63"/>
    </row>
    <row r="122" spans="1:11" x14ac:dyDescent="0.25">
      <c r="A122" s="63">
        <v>2028</v>
      </c>
      <c r="B122" s="63"/>
      <c r="C122" s="65">
        <f>IF((100%-B122-D122-E122-F122-G122-H122)&lt;0,0,(100%-B122-D122-E122-F122-G122-H122))</f>
        <v>0.15272926666666664</v>
      </c>
      <c r="D122" s="65">
        <f t="shared" si="3"/>
        <v>1.6000000000000001E-3</v>
      </c>
      <c r="E122" s="10">
        <f t="shared" si="6"/>
        <v>0.03</v>
      </c>
      <c r="F122" s="65">
        <f t="shared" si="7"/>
        <v>0.14620000000000002</v>
      </c>
      <c r="G122" s="65">
        <f t="shared" si="4"/>
        <v>4.6070733333333343E-2</v>
      </c>
      <c r="H122" s="66">
        <f t="shared" si="5"/>
        <v>0.62339999999999995</v>
      </c>
      <c r="I122" s="30">
        <f t="array" ref="I122">SUM($B$112:$H$112*B122:H122)</f>
        <v>8.3779999999999979E-2</v>
      </c>
      <c r="J122" s="30"/>
      <c r="K122" s="63"/>
    </row>
    <row r="123" spans="1:11" x14ac:dyDescent="0.25">
      <c r="A123" s="63">
        <v>2029</v>
      </c>
      <c r="B123" s="63"/>
      <c r="C123" s="65">
        <f t="shared" ref="C123:C124" si="8">IF((100%-B123-D123-E123-F123-G123-H123)&lt;0,0,(100%-B123-D123-E123-F123-G123-H123))</f>
        <v>0.11911463333333328</v>
      </c>
      <c r="D123" s="65">
        <f t="shared" si="3"/>
        <v>1.6000000000000001E-3</v>
      </c>
      <c r="E123" s="10">
        <f t="shared" si="6"/>
        <v>0.03</v>
      </c>
      <c r="F123" s="65">
        <f t="shared" si="7"/>
        <v>0.14620000000000002</v>
      </c>
      <c r="G123" s="65">
        <f t="shared" si="4"/>
        <v>4.1385366666666666E-2</v>
      </c>
      <c r="H123" s="66">
        <f t="shared" si="5"/>
        <v>0.66169999999999995</v>
      </c>
      <c r="I123" s="30">
        <f t="array" ref="I123">SUM($B$112:$H$112*B123:H123)</f>
        <v>6.7937727272727247E-2</v>
      </c>
      <c r="J123" s="30"/>
      <c r="K123" s="63"/>
    </row>
    <row r="124" spans="1:11" x14ac:dyDescent="0.25">
      <c r="A124" s="63">
        <v>2030</v>
      </c>
      <c r="B124" s="63"/>
      <c r="C124" s="65">
        <f t="shared" si="8"/>
        <v>8.7100000000000066E-2</v>
      </c>
      <c r="D124" s="65">
        <f t="shared" si="3"/>
        <v>0</v>
      </c>
      <c r="E124" s="10">
        <f t="shared" si="6"/>
        <v>0.03</v>
      </c>
      <c r="F124" s="65">
        <f t="shared" si="7"/>
        <v>0.14620000000000002</v>
      </c>
      <c r="G124" s="65">
        <f t="shared" si="4"/>
        <v>3.6700000000000003E-2</v>
      </c>
      <c r="H124" s="13">
        <f>'Pathways Model'!AK4</f>
        <v>0.7</v>
      </c>
      <c r="I124" s="30">
        <f t="array" ref="I124">SUM($B$112:$H$112*B124:H124)</f>
        <v>5.1208181818181847E-2</v>
      </c>
      <c r="J124" s="30"/>
      <c r="K124" s="63"/>
    </row>
    <row r="125" spans="1:11" x14ac:dyDescent="0.25">
      <c r="A125" s="63"/>
      <c r="B125" s="63"/>
      <c r="C125" s="63"/>
      <c r="D125" s="63"/>
      <c r="E125" s="63"/>
      <c r="F125" s="63"/>
      <c r="G125" s="63"/>
      <c r="H125" s="63"/>
      <c r="I125" s="63"/>
      <c r="J125" s="63"/>
      <c r="K125" s="63"/>
    </row>
    <row r="126" spans="1:11" x14ac:dyDescent="0.25">
      <c r="A126" s="63" t="s">
        <v>385</v>
      </c>
      <c r="B126" s="63"/>
      <c r="C126" s="63"/>
      <c r="D126" s="63"/>
      <c r="E126" s="63"/>
      <c r="F126" s="63"/>
      <c r="G126" s="63"/>
      <c r="H126" s="63"/>
      <c r="I126" s="63"/>
      <c r="J126" s="63"/>
      <c r="K126" s="63"/>
    </row>
    <row r="127" spans="1:11" x14ac:dyDescent="0.25">
      <c r="A127" s="63" t="s">
        <v>478</v>
      </c>
      <c r="B127" s="63"/>
      <c r="C127" s="63"/>
      <c r="D127" s="63"/>
      <c r="E127" s="63"/>
      <c r="F127" s="63"/>
      <c r="G127" s="63"/>
      <c r="H127" s="63"/>
      <c r="I127" s="63"/>
      <c r="J127" s="63"/>
      <c r="K127" s="63"/>
    </row>
    <row r="128" spans="1:11" x14ac:dyDescent="0.25">
      <c r="A128" s="63" t="s">
        <v>525</v>
      </c>
      <c r="B128" s="63"/>
      <c r="C128" s="63"/>
      <c r="D128" s="63"/>
      <c r="E128" s="63"/>
      <c r="F128" s="63"/>
      <c r="G128" s="63"/>
      <c r="H128" s="63"/>
      <c r="I128" s="63"/>
      <c r="J128" s="63"/>
      <c r="K128" s="63"/>
    </row>
    <row r="129" spans="1:11" x14ac:dyDescent="0.25">
      <c r="A129" s="63" t="s">
        <v>454</v>
      </c>
      <c r="B129" s="63"/>
      <c r="C129" s="63"/>
      <c r="D129" s="63"/>
      <c r="E129" s="63"/>
      <c r="F129" s="63"/>
      <c r="G129" s="63"/>
      <c r="H129" s="63"/>
      <c r="I129" s="63"/>
      <c r="J129" s="63"/>
      <c r="K129" s="63"/>
    </row>
    <row r="130" spans="1:11" x14ac:dyDescent="0.25">
      <c r="A130" s="63" t="s">
        <v>392</v>
      </c>
      <c r="B130" s="63"/>
      <c r="C130" s="63"/>
      <c r="D130" s="63"/>
      <c r="E130" s="63"/>
      <c r="F130" s="63"/>
      <c r="G130" s="63"/>
      <c r="H130" s="63"/>
      <c r="I130" s="63"/>
      <c r="J130" s="63"/>
      <c r="K130" s="63"/>
    </row>
    <row r="131" spans="1:11" x14ac:dyDescent="0.25">
      <c r="A131" s="63" t="s">
        <v>480</v>
      </c>
      <c r="B131" s="63"/>
      <c r="C131" s="63"/>
      <c r="D131" s="63"/>
      <c r="E131" s="63"/>
      <c r="F131" s="63"/>
      <c r="G131" s="63"/>
      <c r="H131" s="63"/>
      <c r="I131" s="63"/>
      <c r="J131" s="63"/>
      <c r="K131" s="63"/>
    </row>
    <row r="132" spans="1:11" x14ac:dyDescent="0.25">
      <c r="A132" s="63" t="s">
        <v>479</v>
      </c>
      <c r="B132" s="63"/>
      <c r="C132" s="63"/>
      <c r="D132" s="63"/>
      <c r="E132" s="63"/>
      <c r="F132" s="63"/>
      <c r="G132" s="63"/>
      <c r="H132" s="63"/>
      <c r="I132" s="63"/>
      <c r="J132" s="63"/>
      <c r="K132" s="63"/>
    </row>
    <row r="133" spans="1:11" x14ac:dyDescent="0.25">
      <c r="A133" s="63" t="s">
        <v>396</v>
      </c>
      <c r="B133" s="63"/>
      <c r="C133" s="63"/>
      <c r="D133" s="63"/>
      <c r="E133" s="63"/>
      <c r="F133" s="63"/>
      <c r="G133" s="63"/>
      <c r="H133" s="63"/>
      <c r="I133" s="63"/>
      <c r="J133" s="63"/>
      <c r="K133" s="63"/>
    </row>
    <row r="134" spans="1:11" s="71" customFormat="1" x14ac:dyDescent="0.25">
      <c r="A134" s="71" t="s">
        <v>482</v>
      </c>
    </row>
    <row r="136" spans="1:11" x14ac:dyDescent="0.25">
      <c r="A136" s="16" t="s">
        <v>418</v>
      </c>
    </row>
    <row r="137" spans="1:11" x14ac:dyDescent="0.25">
      <c r="A137" t="s">
        <v>419</v>
      </c>
      <c r="B137" s="24">
        <v>282772.08385296579</v>
      </c>
      <c r="C137" t="s">
        <v>348</v>
      </c>
      <c r="D137" t="s">
        <v>448</v>
      </c>
    </row>
    <row r="138" spans="1:11" x14ac:dyDescent="0.25">
      <c r="A138" t="s">
        <v>420</v>
      </c>
      <c r="B138" s="24">
        <v>30319</v>
      </c>
      <c r="C138" s="63" t="s">
        <v>348</v>
      </c>
    </row>
    <row r="139" spans="1:11" s="63" customFormat="1" x14ac:dyDescent="0.25">
      <c r="A139" s="63" t="s">
        <v>421</v>
      </c>
      <c r="B139" s="24">
        <f>B137-B138</f>
        <v>252453.08385296579</v>
      </c>
      <c r="C139" s="63" t="s">
        <v>348</v>
      </c>
    </row>
    <row r="140" spans="1:11" s="63" customFormat="1" x14ac:dyDescent="0.25">
      <c r="A140" t="s">
        <v>422</v>
      </c>
      <c r="B140" s="24">
        <v>21235</v>
      </c>
      <c r="C140" s="63" t="s">
        <v>348</v>
      </c>
    </row>
    <row r="141" spans="1:11" s="63" customFormat="1" x14ac:dyDescent="0.25">
      <c r="A141" t="s">
        <v>403</v>
      </c>
      <c r="B141" s="27">
        <f>B140/B139</f>
        <v>8.4114638949578963E-2</v>
      </c>
      <c r="C141" s="27" t="s">
        <v>423</v>
      </c>
    </row>
    <row r="142" spans="1:11" x14ac:dyDescent="0.25">
      <c r="A142" s="63" t="s">
        <v>402</v>
      </c>
    </row>
  </sheetData>
  <mergeCells count="1">
    <mergeCell ref="B113:H11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1"/>
  <sheetViews>
    <sheetView zoomScale="80" zoomScaleNormal="80" workbookViewId="0"/>
  </sheetViews>
  <sheetFormatPr defaultRowHeight="15" x14ac:dyDescent="0.25"/>
  <cols>
    <col min="1" max="1" width="9.140625" style="14"/>
    <col min="2" max="2" width="17.28515625" customWidth="1"/>
    <col min="3" max="3" width="13.7109375" customWidth="1"/>
    <col min="4" max="4" width="13.85546875" customWidth="1"/>
    <col min="7" max="7" width="31.5703125" customWidth="1"/>
    <col min="9" max="9" width="16.140625" customWidth="1"/>
  </cols>
  <sheetData>
    <row r="1" spans="1:8" s="48" customFormat="1" x14ac:dyDescent="0.25">
      <c r="A1" s="16" t="s">
        <v>288</v>
      </c>
    </row>
    <row r="2" spans="1:8" s="48" customFormat="1" x14ac:dyDescent="0.25">
      <c r="A2" s="53" t="s">
        <v>289</v>
      </c>
    </row>
    <row r="3" spans="1:8" s="57" customFormat="1" x14ac:dyDescent="0.25">
      <c r="A3" s="17" t="s">
        <v>320</v>
      </c>
    </row>
    <row r="4" spans="1:8" s="57" customFormat="1" x14ac:dyDescent="0.25">
      <c r="A4" s="18" t="s">
        <v>321</v>
      </c>
    </row>
    <row r="5" spans="1:8" s="57" customFormat="1" x14ac:dyDescent="0.25">
      <c r="A5" s="59" t="s">
        <v>322</v>
      </c>
    </row>
    <row r="6" spans="1:8" x14ac:dyDescent="0.25">
      <c r="E6" s="19" t="s">
        <v>90</v>
      </c>
      <c r="G6" s="20" t="s">
        <v>99</v>
      </c>
    </row>
    <row r="7" spans="1:8" x14ac:dyDescent="0.25">
      <c r="B7" s="16" t="s">
        <v>6</v>
      </c>
      <c r="C7" s="16" t="s">
        <v>15</v>
      </c>
      <c r="D7" s="16" t="s">
        <v>81</v>
      </c>
      <c r="E7" s="22">
        <v>38.57</v>
      </c>
      <c r="G7" s="43" t="s">
        <v>89</v>
      </c>
      <c r="H7" s="14">
        <f>E7+E13</f>
        <v>62.57</v>
      </c>
    </row>
    <row r="8" spans="1:8" x14ac:dyDescent="0.25">
      <c r="B8" t="s">
        <v>16</v>
      </c>
      <c r="C8" t="s">
        <v>17</v>
      </c>
      <c r="E8" s="17">
        <v>1.03</v>
      </c>
    </row>
    <row r="9" spans="1:8" x14ac:dyDescent="0.25">
      <c r="B9" t="s">
        <v>16</v>
      </c>
      <c r="C9" t="s">
        <v>7</v>
      </c>
      <c r="E9" s="17">
        <v>10.9</v>
      </c>
    </row>
    <row r="10" spans="1:8" x14ac:dyDescent="0.25">
      <c r="B10" t="s">
        <v>18</v>
      </c>
      <c r="C10" t="s">
        <v>19</v>
      </c>
      <c r="E10" s="17">
        <v>14.91</v>
      </c>
    </row>
    <row r="11" spans="1:8" x14ac:dyDescent="0.25">
      <c r="B11" t="s">
        <v>20</v>
      </c>
      <c r="C11" t="s">
        <v>21</v>
      </c>
      <c r="D11" t="s">
        <v>22</v>
      </c>
      <c r="E11" s="17">
        <v>0.13</v>
      </c>
    </row>
    <row r="12" spans="1:8" x14ac:dyDescent="0.25">
      <c r="B12" t="s">
        <v>23</v>
      </c>
      <c r="C12" t="s">
        <v>19</v>
      </c>
      <c r="E12" s="17">
        <v>11.6</v>
      </c>
    </row>
    <row r="13" spans="1:8" x14ac:dyDescent="0.25">
      <c r="B13" s="16" t="s">
        <v>6</v>
      </c>
      <c r="C13" s="16" t="s">
        <v>15</v>
      </c>
      <c r="D13" s="16" t="s">
        <v>24</v>
      </c>
      <c r="E13" s="22">
        <v>24</v>
      </c>
    </row>
    <row r="14" spans="1:8" x14ac:dyDescent="0.25">
      <c r="B14" t="s">
        <v>25</v>
      </c>
      <c r="C14" t="s">
        <v>1</v>
      </c>
      <c r="E14" s="17">
        <v>15.1</v>
      </c>
    </row>
    <row r="15" spans="1:8" x14ac:dyDescent="0.25">
      <c r="B15" t="s">
        <v>20</v>
      </c>
      <c r="C15" t="s">
        <v>21</v>
      </c>
      <c r="D15" t="s">
        <v>22</v>
      </c>
      <c r="E15" s="17">
        <v>0.06</v>
      </c>
    </row>
    <row r="16" spans="1:8" x14ac:dyDescent="0.25">
      <c r="B16" t="s">
        <v>26</v>
      </c>
      <c r="C16" t="s">
        <v>1</v>
      </c>
      <c r="E16" s="17">
        <v>8.84</v>
      </c>
    </row>
    <row r="17" spans="2:12" x14ac:dyDescent="0.25">
      <c r="B17" s="16" t="s">
        <v>8</v>
      </c>
      <c r="E17" s="16">
        <v>174.31</v>
      </c>
    </row>
    <row r="18" spans="2:12" x14ac:dyDescent="0.25">
      <c r="B18" t="s">
        <v>27</v>
      </c>
      <c r="E18" s="18">
        <v>4.68</v>
      </c>
    </row>
    <row r="19" spans="2:12" x14ac:dyDescent="0.25">
      <c r="B19" t="s">
        <v>28</v>
      </c>
      <c r="C19" t="s">
        <v>25</v>
      </c>
      <c r="D19" t="s">
        <v>8</v>
      </c>
      <c r="E19" s="18">
        <v>5.99</v>
      </c>
    </row>
    <row r="20" spans="2:12" x14ac:dyDescent="0.25">
      <c r="B20" t="s">
        <v>29</v>
      </c>
      <c r="C20" t="s">
        <v>30</v>
      </c>
      <c r="E20" s="18">
        <v>2.73</v>
      </c>
    </row>
    <row r="21" spans="2:12" x14ac:dyDescent="0.25">
      <c r="B21" t="s">
        <v>31</v>
      </c>
      <c r="C21" t="s">
        <v>30</v>
      </c>
      <c r="E21" s="17">
        <v>155.75</v>
      </c>
      <c r="G21" s="43" t="s">
        <v>85</v>
      </c>
      <c r="H21" s="17">
        <f>E21</f>
        <v>155.75</v>
      </c>
    </row>
    <row r="22" spans="2:12" x14ac:dyDescent="0.25">
      <c r="B22" t="s">
        <v>32</v>
      </c>
      <c r="E22" s="18">
        <v>1.83</v>
      </c>
      <c r="G22" s="18" t="s">
        <v>86</v>
      </c>
      <c r="H22" s="18">
        <f>SUM(E18:E20)+SUM(E22:E23)</f>
        <v>18.55</v>
      </c>
    </row>
    <row r="23" spans="2:12" x14ac:dyDescent="0.25">
      <c r="B23" t="s">
        <v>33</v>
      </c>
      <c r="E23" s="18">
        <v>3.32</v>
      </c>
    </row>
    <row r="24" spans="2:12" x14ac:dyDescent="0.25">
      <c r="B24" s="16" t="s">
        <v>7</v>
      </c>
      <c r="C24" s="16"/>
      <c r="D24" s="16"/>
      <c r="E24" s="16">
        <v>101.14</v>
      </c>
      <c r="G24" s="43" t="s">
        <v>87</v>
      </c>
      <c r="H24" s="17">
        <f>E25+E27+E29+E33+E34+E35+E36</f>
        <v>45.38</v>
      </c>
      <c r="I24" s="7"/>
    </row>
    <row r="25" spans="2:12" x14ac:dyDescent="0.25">
      <c r="B25" t="s">
        <v>16</v>
      </c>
      <c r="C25" t="s">
        <v>7</v>
      </c>
      <c r="E25" s="17">
        <v>7.79</v>
      </c>
    </row>
    <row r="26" spans="2:12" x14ac:dyDescent="0.25">
      <c r="B26" t="s">
        <v>34</v>
      </c>
      <c r="E26" s="18">
        <v>8.5399999999999991</v>
      </c>
      <c r="G26" s="45"/>
    </row>
    <row r="27" spans="2:12" x14ac:dyDescent="0.25">
      <c r="B27" t="s">
        <v>35</v>
      </c>
      <c r="E27" s="17">
        <v>24.56</v>
      </c>
    </row>
    <row r="28" spans="2:12" x14ac:dyDescent="0.25">
      <c r="B28" t="s">
        <v>36</v>
      </c>
      <c r="E28" s="18">
        <v>0.17</v>
      </c>
      <c r="G28" s="18" t="s">
        <v>88</v>
      </c>
      <c r="H28" s="18">
        <f>E28+E30+E31+E26</f>
        <v>25.94</v>
      </c>
    </row>
    <row r="29" spans="2:12" x14ac:dyDescent="0.25">
      <c r="B29" t="s">
        <v>28</v>
      </c>
      <c r="C29" t="s">
        <v>25</v>
      </c>
      <c r="D29" t="s">
        <v>7</v>
      </c>
      <c r="E29" s="17">
        <v>5.13</v>
      </c>
    </row>
    <row r="30" spans="2:12" x14ac:dyDescent="0.25">
      <c r="B30" t="s">
        <v>82</v>
      </c>
      <c r="C30" t="s">
        <v>14</v>
      </c>
      <c r="D30" t="s">
        <v>83</v>
      </c>
      <c r="E30" s="18">
        <v>17.22</v>
      </c>
    </row>
    <row r="31" spans="2:12" x14ac:dyDescent="0.25">
      <c r="B31" t="s">
        <v>38</v>
      </c>
      <c r="C31" t="s">
        <v>39</v>
      </c>
      <c r="E31" s="18">
        <v>0.01</v>
      </c>
      <c r="J31" s="11" t="s">
        <v>101</v>
      </c>
    </row>
    <row r="32" spans="2:12" x14ac:dyDescent="0.25">
      <c r="B32" t="s">
        <v>38</v>
      </c>
      <c r="C32" t="s">
        <v>84</v>
      </c>
      <c r="D32" t="s">
        <v>40</v>
      </c>
      <c r="E32" s="17">
        <v>29.82</v>
      </c>
      <c r="G32" s="43" t="s">
        <v>102</v>
      </c>
      <c r="H32" s="37">
        <f>E32*K32/K35</f>
        <v>19.055103734439832</v>
      </c>
      <c r="I32" s="21" t="s">
        <v>103</v>
      </c>
      <c r="J32" t="s">
        <v>94</v>
      </c>
      <c r="K32">
        <v>15.4</v>
      </c>
      <c r="L32" t="s">
        <v>95</v>
      </c>
    </row>
    <row r="33" spans="2:13" x14ac:dyDescent="0.25">
      <c r="B33" t="s">
        <v>41</v>
      </c>
      <c r="C33" t="s">
        <v>42</v>
      </c>
      <c r="D33" t="s">
        <v>43</v>
      </c>
      <c r="E33" s="17">
        <v>0.35</v>
      </c>
      <c r="G33" s="18" t="s">
        <v>93</v>
      </c>
      <c r="H33" s="40">
        <f>E32-H32</f>
        <v>10.764896265560168</v>
      </c>
      <c r="J33" t="s">
        <v>96</v>
      </c>
      <c r="K33">
        <v>3.7</v>
      </c>
    </row>
    <row r="34" spans="2:13" x14ac:dyDescent="0.25">
      <c r="B34" t="s">
        <v>44</v>
      </c>
      <c r="C34" t="s">
        <v>37</v>
      </c>
      <c r="D34" t="s">
        <v>45</v>
      </c>
      <c r="E34" s="17">
        <v>0.25</v>
      </c>
      <c r="J34" t="s">
        <v>97</v>
      </c>
      <c r="K34">
        <v>5</v>
      </c>
    </row>
    <row r="35" spans="2:13" x14ac:dyDescent="0.25">
      <c r="B35" t="s">
        <v>20</v>
      </c>
      <c r="C35" t="s">
        <v>21</v>
      </c>
      <c r="D35" t="s">
        <v>22</v>
      </c>
      <c r="E35" s="17">
        <v>5.37</v>
      </c>
      <c r="J35" t="s">
        <v>98</v>
      </c>
      <c r="K35">
        <f>SUM(K32:K34)</f>
        <v>24.1</v>
      </c>
    </row>
    <row r="36" spans="2:13" x14ac:dyDescent="0.25">
      <c r="B36" t="s">
        <v>46</v>
      </c>
      <c r="C36" t="s">
        <v>43</v>
      </c>
      <c r="E36" s="17">
        <v>1.93</v>
      </c>
    </row>
    <row r="37" spans="2:13" x14ac:dyDescent="0.25">
      <c r="B37" s="16" t="s">
        <v>17</v>
      </c>
      <c r="C37" s="16"/>
      <c r="D37" s="16"/>
      <c r="E37" s="16">
        <v>23.26</v>
      </c>
      <c r="G37" s="17" t="s">
        <v>293</v>
      </c>
      <c r="H37" s="54">
        <v>0.5</v>
      </c>
      <c r="I37" s="17" t="s">
        <v>158</v>
      </c>
      <c r="J37" s="37">
        <f>E37*H37</f>
        <v>11.63</v>
      </c>
      <c r="K37" s="17" t="s">
        <v>157</v>
      </c>
      <c r="L37" s="17"/>
    </row>
    <row r="38" spans="2:13" x14ac:dyDescent="0.25">
      <c r="B38" t="s">
        <v>16</v>
      </c>
      <c r="C38" t="s">
        <v>17</v>
      </c>
      <c r="E38" s="59">
        <v>0.68</v>
      </c>
      <c r="G38" s="18"/>
    </row>
    <row r="39" spans="2:13" x14ac:dyDescent="0.25">
      <c r="B39" t="s">
        <v>47</v>
      </c>
      <c r="E39" s="59">
        <v>0.11</v>
      </c>
    </row>
    <row r="40" spans="2:13" x14ac:dyDescent="0.25">
      <c r="B40" t="s">
        <v>48</v>
      </c>
      <c r="C40" t="s">
        <v>49</v>
      </c>
      <c r="E40" s="59">
        <v>0.23</v>
      </c>
    </row>
    <row r="41" spans="2:13" x14ac:dyDescent="0.25">
      <c r="B41" t="s">
        <v>50</v>
      </c>
      <c r="E41" s="59">
        <v>0.94</v>
      </c>
    </row>
    <row r="42" spans="2:13" x14ac:dyDescent="0.25">
      <c r="B42" t="s">
        <v>51</v>
      </c>
      <c r="C42" t="s">
        <v>52</v>
      </c>
      <c r="E42" s="59">
        <v>2.37</v>
      </c>
    </row>
    <row r="43" spans="2:13" x14ac:dyDescent="0.25">
      <c r="B43" t="s">
        <v>53</v>
      </c>
      <c r="C43" t="s">
        <v>54</v>
      </c>
      <c r="E43" s="59">
        <v>1.51</v>
      </c>
      <c r="H43" s="17"/>
      <c r="I43" s="44" t="s">
        <v>159</v>
      </c>
      <c r="J43" s="37">
        <f>J37+J51</f>
        <v>35.341999999999999</v>
      </c>
      <c r="K43" s="17" t="s">
        <v>157</v>
      </c>
      <c r="L43" s="17"/>
      <c r="M43" s="7"/>
    </row>
    <row r="44" spans="2:13" x14ac:dyDescent="0.25">
      <c r="B44" t="s">
        <v>55</v>
      </c>
      <c r="E44" s="59">
        <v>0.71</v>
      </c>
      <c r="H44" s="18"/>
      <c r="I44" s="39" t="s">
        <v>160</v>
      </c>
      <c r="J44" s="40">
        <f>E37+E51-J43</f>
        <v>18.317999999999998</v>
      </c>
      <c r="K44" s="18" t="s">
        <v>157</v>
      </c>
    </row>
    <row r="45" spans="2:13" x14ac:dyDescent="0.25">
      <c r="B45" t="s">
        <v>56</v>
      </c>
      <c r="E45" s="59">
        <v>0.57999999999999996</v>
      </c>
    </row>
    <row r="46" spans="2:13" x14ac:dyDescent="0.25">
      <c r="B46" t="s">
        <v>57</v>
      </c>
      <c r="C46" t="s">
        <v>58</v>
      </c>
      <c r="E46" s="59">
        <v>0.13</v>
      </c>
    </row>
    <row r="47" spans="2:13" x14ac:dyDescent="0.25">
      <c r="B47" t="s">
        <v>28</v>
      </c>
      <c r="C47" t="s">
        <v>25</v>
      </c>
      <c r="D47" t="s">
        <v>17</v>
      </c>
      <c r="E47" s="59">
        <v>13.76</v>
      </c>
    </row>
    <row r="48" spans="2:13" x14ac:dyDescent="0.25">
      <c r="B48" t="s">
        <v>59</v>
      </c>
      <c r="E48" s="59">
        <v>0.53</v>
      </c>
    </row>
    <row r="49" spans="2:12" x14ac:dyDescent="0.25">
      <c r="B49" t="s">
        <v>60</v>
      </c>
      <c r="C49" t="s">
        <v>37</v>
      </c>
      <c r="D49" t="s">
        <v>61</v>
      </c>
      <c r="E49" s="59">
        <v>1.18</v>
      </c>
    </row>
    <row r="50" spans="2:12" x14ac:dyDescent="0.25">
      <c r="B50" t="s">
        <v>8</v>
      </c>
      <c r="C50" t="s">
        <v>52</v>
      </c>
      <c r="E50" s="59">
        <v>0.53</v>
      </c>
    </row>
    <row r="51" spans="2:12" x14ac:dyDescent="0.25">
      <c r="B51" s="16" t="s">
        <v>62</v>
      </c>
      <c r="C51" s="16"/>
      <c r="D51" s="16"/>
      <c r="E51" s="16">
        <v>30.4</v>
      </c>
      <c r="G51" s="17" t="s">
        <v>293</v>
      </c>
      <c r="H51" s="54">
        <v>0.78</v>
      </c>
      <c r="I51" s="17" t="s">
        <v>158</v>
      </c>
      <c r="J51" s="37">
        <f>E51*H51</f>
        <v>23.712</v>
      </c>
      <c r="K51" s="17" t="s">
        <v>157</v>
      </c>
      <c r="L51" s="38"/>
    </row>
    <row r="52" spans="2:12" x14ac:dyDescent="0.25">
      <c r="B52" t="s">
        <v>63</v>
      </c>
      <c r="C52" t="s">
        <v>64</v>
      </c>
      <c r="E52" s="59">
        <v>25.11</v>
      </c>
    </row>
    <row r="53" spans="2:12" x14ac:dyDescent="0.25">
      <c r="B53" t="s">
        <v>56</v>
      </c>
      <c r="E53" s="59">
        <v>0.86</v>
      </c>
    </row>
    <row r="54" spans="2:12" x14ac:dyDescent="0.25">
      <c r="B54" t="s">
        <v>28</v>
      </c>
      <c r="C54" t="s">
        <v>25</v>
      </c>
      <c r="D54" t="s">
        <v>62</v>
      </c>
      <c r="E54" s="59">
        <v>3.54</v>
      </c>
    </row>
    <row r="55" spans="2:12" x14ac:dyDescent="0.25">
      <c r="B55" t="s">
        <v>20</v>
      </c>
      <c r="C55" t="s">
        <v>21</v>
      </c>
      <c r="D55" t="s">
        <v>22</v>
      </c>
      <c r="E55" s="59">
        <v>0.89</v>
      </c>
    </row>
    <row r="56" spans="2:12" x14ac:dyDescent="0.25">
      <c r="B56" s="16" t="s">
        <v>65</v>
      </c>
      <c r="C56" s="16" t="s">
        <v>37</v>
      </c>
      <c r="D56" s="16" t="s">
        <v>66</v>
      </c>
      <c r="E56" s="16">
        <v>32.42</v>
      </c>
      <c r="G56" s="18" t="s">
        <v>92</v>
      </c>
      <c r="H56">
        <f>SUM(E57:E61)+E63</f>
        <v>20.79</v>
      </c>
    </row>
    <row r="57" spans="2:12" x14ac:dyDescent="0.25">
      <c r="B57" t="s">
        <v>67</v>
      </c>
      <c r="C57" t="s">
        <v>68</v>
      </c>
      <c r="D57" t="s">
        <v>64</v>
      </c>
      <c r="E57" s="18">
        <v>3.11</v>
      </c>
    </row>
    <row r="58" spans="2:12" x14ac:dyDescent="0.25">
      <c r="B58" t="s">
        <v>67</v>
      </c>
      <c r="C58" t="s">
        <v>69</v>
      </c>
      <c r="D58" t="s">
        <v>70</v>
      </c>
      <c r="E58" s="18">
        <v>0.09</v>
      </c>
    </row>
    <row r="59" spans="2:12" x14ac:dyDescent="0.25">
      <c r="B59" t="s">
        <v>67</v>
      </c>
      <c r="C59" t="s">
        <v>71</v>
      </c>
      <c r="D59" t="s">
        <v>72</v>
      </c>
      <c r="E59" s="18">
        <v>5.59</v>
      </c>
    </row>
    <row r="60" spans="2:12" x14ac:dyDescent="0.25">
      <c r="B60" t="s">
        <v>73</v>
      </c>
      <c r="C60" t="s">
        <v>74</v>
      </c>
      <c r="E60" s="18">
        <v>11.05</v>
      </c>
    </row>
    <row r="61" spans="2:12" x14ac:dyDescent="0.25">
      <c r="B61" t="s">
        <v>75</v>
      </c>
      <c r="C61" t="s">
        <v>76</v>
      </c>
      <c r="E61" s="18">
        <v>0.15</v>
      </c>
    </row>
    <row r="62" spans="2:12" x14ac:dyDescent="0.25">
      <c r="B62" t="s">
        <v>77</v>
      </c>
      <c r="C62" t="s">
        <v>72</v>
      </c>
      <c r="E62" s="17">
        <v>11.62</v>
      </c>
      <c r="F62" s="17"/>
      <c r="G62" s="43" t="s">
        <v>91</v>
      </c>
      <c r="H62">
        <f>E62</f>
        <v>11.62</v>
      </c>
    </row>
    <row r="63" spans="2:12" x14ac:dyDescent="0.25">
      <c r="B63" t="s">
        <v>78</v>
      </c>
      <c r="C63" t="s">
        <v>76</v>
      </c>
      <c r="E63" s="18">
        <v>0.8</v>
      </c>
    </row>
    <row r="64" spans="2:12" x14ac:dyDescent="0.25">
      <c r="B64" s="16" t="s">
        <v>80</v>
      </c>
      <c r="C64" s="16" t="s">
        <v>79</v>
      </c>
      <c r="D64" s="16"/>
      <c r="E64" s="16">
        <v>424.1</v>
      </c>
      <c r="H64" s="7">
        <f>H7+H21+H22+H24+H28+H32+H33+J43+J44+H56+H62</f>
        <v>424.08</v>
      </c>
      <c r="I64" s="7"/>
    </row>
    <row r="67" spans="1:1" x14ac:dyDescent="0.25">
      <c r="A67" s="14" t="s">
        <v>100</v>
      </c>
    </row>
    <row r="68" spans="1:1" x14ac:dyDescent="0.25">
      <c r="A68" s="14" t="s">
        <v>323</v>
      </c>
    </row>
    <row r="69" spans="1:1" x14ac:dyDescent="0.25">
      <c r="A69" s="14" t="s">
        <v>324</v>
      </c>
    </row>
    <row r="70" spans="1:1" x14ac:dyDescent="0.25">
      <c r="A70" s="14" t="s">
        <v>219</v>
      </c>
    </row>
    <row r="71" spans="1:1" x14ac:dyDescent="0.25">
      <c r="A71" s="14" t="s">
        <v>325</v>
      </c>
    </row>
  </sheetData>
  <pageMargins left="0.7" right="0.7" top="0.75" bottom="0.75" header="0.3" footer="0.3"/>
  <pageSetup scale="49"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64"/>
  <sheetViews>
    <sheetView topLeftCell="A2" zoomScale="70" zoomScaleNormal="70" workbookViewId="0">
      <selection activeCell="BE7" sqref="BE7"/>
    </sheetView>
  </sheetViews>
  <sheetFormatPr defaultRowHeight="15" x14ac:dyDescent="0.25"/>
  <cols>
    <col min="1" max="1" width="17" customWidth="1"/>
    <col min="2" max="2" width="23.5703125" style="15" customWidth="1"/>
    <col min="3" max="3" width="12.28515625" style="15" customWidth="1"/>
    <col min="4" max="4" width="12.140625" style="15" customWidth="1"/>
    <col min="5" max="5" width="13.85546875" style="23" customWidth="1"/>
    <col min="6" max="6" width="12.28515625" customWidth="1"/>
    <col min="7" max="7" width="12" style="23" customWidth="1"/>
    <col min="8" max="8" width="11" customWidth="1"/>
    <col min="9" max="9" width="11.7109375" customWidth="1"/>
    <col min="10" max="10" width="14.140625" style="15" customWidth="1"/>
    <col min="11" max="11" width="10.42578125" style="15" customWidth="1"/>
    <col min="12" max="12" width="14.42578125" style="15" customWidth="1"/>
    <col min="14" max="14" width="12" customWidth="1"/>
    <col min="15" max="15" width="13.28515625" customWidth="1"/>
    <col min="16" max="16" width="17.7109375" customWidth="1"/>
    <col min="17" max="17" width="18.28515625" customWidth="1"/>
    <col min="18" max="18" width="14" customWidth="1"/>
    <col min="19" max="19" width="11.5703125" customWidth="1"/>
    <col min="20" max="20" width="11.5703125" bestFit="1" customWidth="1"/>
    <col min="21" max="21" width="11.5703125" style="23" customWidth="1"/>
    <col min="22" max="22" width="14" style="23" customWidth="1"/>
    <col min="23" max="23" width="35.42578125" customWidth="1"/>
    <col min="24" max="24" width="12.7109375" customWidth="1"/>
    <col min="25" max="25" width="13.140625" style="26" customWidth="1"/>
    <col min="26" max="26" width="13.28515625" customWidth="1"/>
    <col min="27" max="27" width="13.28515625" style="62" customWidth="1"/>
    <col min="28" max="28" width="14.5703125" style="62" customWidth="1"/>
    <col min="29" max="29" width="18.140625" style="62" customWidth="1"/>
    <col min="30" max="30" width="19.140625" style="64" customWidth="1"/>
    <col min="31" max="31" width="15.7109375" customWidth="1"/>
    <col min="32" max="32" width="19.140625" style="62" customWidth="1"/>
    <col min="33" max="33" width="19.140625" style="64" customWidth="1"/>
    <col min="34" max="36" width="15.7109375" style="63" customWidth="1"/>
    <col min="37" max="37" width="13.28515625" customWidth="1"/>
    <col min="38" max="38" width="16.7109375" customWidth="1"/>
    <col min="39" max="39" width="15.28515625" style="41" customWidth="1"/>
    <col min="40" max="40" width="15" style="41" customWidth="1"/>
    <col min="41" max="41" width="21.28515625" customWidth="1"/>
    <col min="42" max="42" width="21.140625" customWidth="1"/>
    <col min="43" max="43" width="15.5703125" customWidth="1"/>
    <col min="44" max="44" width="27.5703125" customWidth="1"/>
    <col min="45" max="45" width="19.7109375" customWidth="1"/>
    <col min="46" max="46" width="14" customWidth="1"/>
    <col min="47" max="47" width="14.42578125" customWidth="1"/>
    <col min="48" max="48" width="14.5703125" style="56" customWidth="1"/>
    <col min="49" max="49" width="12.140625" style="56" customWidth="1"/>
    <col min="50" max="50" width="13.7109375" customWidth="1"/>
    <col min="51" max="51" width="13" customWidth="1"/>
    <col min="52" max="52" width="13.85546875" customWidth="1"/>
    <col min="53" max="53" width="12.85546875" customWidth="1"/>
    <col min="54" max="54" width="14.28515625" customWidth="1"/>
    <col min="55" max="55" width="13.7109375" customWidth="1"/>
    <col min="56" max="56" width="13.140625" customWidth="1"/>
    <col min="57" max="57" width="15.28515625" customWidth="1"/>
    <col min="58" max="58" width="14.28515625" customWidth="1"/>
    <col min="59" max="59" width="15.28515625" customWidth="1"/>
    <col min="60" max="60" width="14.5703125" customWidth="1"/>
  </cols>
  <sheetData>
    <row r="1" spans="1:60" s="41" customFormat="1" x14ac:dyDescent="0.25">
      <c r="A1" s="82" t="s">
        <v>343</v>
      </c>
      <c r="B1" s="82"/>
      <c r="C1" s="82"/>
      <c r="D1" s="82"/>
      <c r="E1" s="82"/>
      <c r="F1" s="82"/>
      <c r="G1" s="82"/>
      <c r="H1" s="82"/>
      <c r="I1" s="82"/>
      <c r="J1" s="82"/>
      <c r="K1" s="82"/>
      <c r="L1" s="82"/>
      <c r="M1" s="82"/>
      <c r="N1" s="82"/>
      <c r="O1" s="82"/>
      <c r="P1" s="82"/>
      <c r="R1" s="82" t="s">
        <v>383</v>
      </c>
      <c r="S1" s="82"/>
      <c r="T1" s="82"/>
      <c r="U1" s="82"/>
      <c r="V1" s="82"/>
      <c r="W1" s="82"/>
      <c r="X1" s="82"/>
      <c r="Y1" s="82"/>
      <c r="Z1" s="82"/>
      <c r="AB1" s="82" t="s">
        <v>441</v>
      </c>
      <c r="AC1" s="82"/>
      <c r="AD1" s="82"/>
      <c r="AE1" s="82"/>
      <c r="AF1" s="82"/>
      <c r="AG1" s="82"/>
      <c r="AH1" s="82"/>
      <c r="AI1" s="82"/>
      <c r="AJ1" s="82"/>
      <c r="AK1" s="82"/>
      <c r="AL1" s="82"/>
      <c r="AM1" s="82"/>
      <c r="AN1" s="82"/>
      <c r="AO1" s="82"/>
      <c r="AP1" s="82" t="s">
        <v>275</v>
      </c>
      <c r="AQ1" s="82"/>
      <c r="AR1" s="82"/>
      <c r="AS1" s="82" t="s">
        <v>336</v>
      </c>
      <c r="AT1" s="82"/>
      <c r="AU1" s="82"/>
      <c r="AV1" s="55"/>
      <c r="AW1" s="55"/>
      <c r="AX1" s="82" t="s">
        <v>335</v>
      </c>
      <c r="AY1" s="82"/>
      <c r="AZ1" s="82"/>
      <c r="BA1" s="82"/>
      <c r="BB1" s="82"/>
      <c r="BC1" s="82"/>
      <c r="BD1" s="82"/>
      <c r="BE1" s="82"/>
      <c r="BF1" s="82"/>
      <c r="BG1" s="82"/>
    </row>
    <row r="2" spans="1:60" s="41" customFormat="1" x14ac:dyDescent="0.25">
      <c r="A2" s="82" t="s">
        <v>267</v>
      </c>
      <c r="B2" s="82"/>
      <c r="C2" s="82"/>
      <c r="D2" s="82" t="s">
        <v>341</v>
      </c>
      <c r="E2" s="82"/>
      <c r="F2" s="82"/>
      <c r="G2" s="82"/>
      <c r="H2" s="82"/>
      <c r="I2" s="82"/>
      <c r="J2" s="82"/>
      <c r="K2" s="82" t="s">
        <v>268</v>
      </c>
      <c r="L2" s="82"/>
      <c r="M2" s="82" t="s">
        <v>269</v>
      </c>
      <c r="N2" s="82"/>
      <c r="O2" s="82"/>
      <c r="P2" s="82"/>
      <c r="R2" s="82" t="s">
        <v>271</v>
      </c>
      <c r="S2" s="82"/>
      <c r="T2" s="82" t="s">
        <v>272</v>
      </c>
      <c r="U2" s="82"/>
      <c r="V2" s="82"/>
      <c r="W2" s="82" t="s">
        <v>273</v>
      </c>
      <c r="X2" s="82"/>
      <c r="Y2" s="82"/>
      <c r="Z2" s="82"/>
      <c r="AE2" s="1" t="s">
        <v>414</v>
      </c>
      <c r="AF2" s="8">
        <v>283.39999999999998</v>
      </c>
      <c r="AG2" s="23" t="s">
        <v>256</v>
      </c>
      <c r="AH2" s="63"/>
      <c r="AI2" s="63"/>
      <c r="AV2" s="56"/>
      <c r="AW2" s="56"/>
      <c r="AY2" s="11" t="s">
        <v>303</v>
      </c>
      <c r="AZ2" s="11" t="s">
        <v>304</v>
      </c>
      <c r="BA2" s="11" t="s">
        <v>316</v>
      </c>
      <c r="BC2" s="11"/>
      <c r="BD2" s="11" t="s">
        <v>303</v>
      </c>
      <c r="BE2" s="11" t="s">
        <v>304</v>
      </c>
      <c r="BF2" s="11" t="s">
        <v>316</v>
      </c>
      <c r="BG2" s="11"/>
    </row>
    <row r="3" spans="1:60" s="15" customFormat="1" x14ac:dyDescent="0.25">
      <c r="A3" s="22" t="s">
        <v>113</v>
      </c>
      <c r="B3" s="70" t="s">
        <v>266</v>
      </c>
      <c r="C3" s="13">
        <v>0.2</v>
      </c>
      <c r="E3" s="1"/>
      <c r="G3" s="70" t="s">
        <v>342</v>
      </c>
      <c r="H3" s="13">
        <v>0.5</v>
      </c>
      <c r="I3" s="15" t="s">
        <v>115</v>
      </c>
      <c r="N3" s="1" t="s">
        <v>229</v>
      </c>
      <c r="O3" s="15">
        <v>33.700000000000003</v>
      </c>
      <c r="P3" s="15" t="s">
        <v>119</v>
      </c>
      <c r="S3" s="1" t="s">
        <v>276</v>
      </c>
      <c r="T3" s="7">
        <f>'Pathways Data Alignment'!J43</f>
        <v>35.341999999999999</v>
      </c>
      <c r="U3" s="15" t="s">
        <v>161</v>
      </c>
      <c r="V3" s="23"/>
      <c r="AA3" s="61"/>
      <c r="AE3" s="1" t="s">
        <v>408</v>
      </c>
      <c r="AF3" s="24">
        <v>69000</v>
      </c>
      <c r="AG3" s="15" t="s">
        <v>379</v>
      </c>
      <c r="AH3" s="63"/>
      <c r="AI3" s="63"/>
      <c r="AJ3" s="1" t="s">
        <v>404</v>
      </c>
      <c r="AK3" s="27">
        <f>'Pathways Background Calcs'!$B$141</f>
        <v>8.4114638949578963E-2</v>
      </c>
      <c r="AL3" s="41" t="s">
        <v>424</v>
      </c>
      <c r="AP3" s="15" t="s">
        <v>274</v>
      </c>
      <c r="AS3" s="26" t="s">
        <v>207</v>
      </c>
      <c r="AT3" s="26"/>
      <c r="AU3" s="26"/>
      <c r="AV3" s="56"/>
      <c r="AW3" s="56"/>
      <c r="AY3" s="1" t="s">
        <v>295</v>
      </c>
      <c r="AZ3" s="7">
        <v>1.49</v>
      </c>
      <c r="BA3" s="58">
        <v>352</v>
      </c>
      <c r="BD3" s="1" t="s">
        <v>300</v>
      </c>
      <c r="BE3" s="4">
        <v>0.05</v>
      </c>
      <c r="BF3" s="58">
        <v>436</v>
      </c>
    </row>
    <row r="4" spans="1:60" s="15" customFormat="1" x14ac:dyDescent="0.25">
      <c r="B4" s="1" t="s">
        <v>220</v>
      </c>
      <c r="C4" s="49">
        <v>0.05</v>
      </c>
      <c r="D4" s="15" t="s">
        <v>114</v>
      </c>
      <c r="E4" s="1"/>
      <c r="G4" s="1" t="s">
        <v>224</v>
      </c>
      <c r="H4" s="49">
        <v>0.1</v>
      </c>
      <c r="I4" s="15" t="s">
        <v>114</v>
      </c>
      <c r="N4" s="1" t="s">
        <v>238</v>
      </c>
      <c r="O4" s="50">
        <v>3</v>
      </c>
      <c r="P4" s="15" t="s">
        <v>120</v>
      </c>
      <c r="S4" s="1" t="s">
        <v>270</v>
      </c>
      <c r="T4" s="10">
        <v>0.11</v>
      </c>
      <c r="U4" s="15" t="s">
        <v>378</v>
      </c>
      <c r="V4" s="23"/>
      <c r="W4" s="1" t="s">
        <v>250</v>
      </c>
      <c r="X4" s="26">
        <v>8.7999999999999995E-2</v>
      </c>
      <c r="Y4" s="15" t="s">
        <v>199</v>
      </c>
      <c r="AA4" s="62"/>
      <c r="AE4" s="70" t="s">
        <v>427</v>
      </c>
      <c r="AF4" s="13">
        <v>1.5</v>
      </c>
      <c r="AG4" s="15" t="s">
        <v>399</v>
      </c>
      <c r="AH4" s="63"/>
      <c r="AI4" s="63"/>
      <c r="AJ4" s="70" t="s">
        <v>201</v>
      </c>
      <c r="AK4" s="13">
        <v>0.7</v>
      </c>
      <c r="AL4" s="57" t="s">
        <v>364</v>
      </c>
      <c r="AP4" s="70" t="s">
        <v>540</v>
      </c>
      <c r="AQ4" s="13">
        <v>0.3</v>
      </c>
      <c r="AR4" s="15" t="s">
        <v>204</v>
      </c>
      <c r="AS4" s="70" t="s">
        <v>203</v>
      </c>
      <c r="AT4" s="13">
        <v>0.3</v>
      </c>
      <c r="AU4" s="26" t="s">
        <v>294</v>
      </c>
      <c r="AV4" s="56"/>
      <c r="AW4" s="56"/>
      <c r="AY4" s="1" t="s">
        <v>296</v>
      </c>
      <c r="AZ4" s="7">
        <v>4.5</v>
      </c>
      <c r="BA4" s="58">
        <v>770</v>
      </c>
      <c r="BD4" s="1" t="s">
        <v>301</v>
      </c>
      <c r="BE4" s="7">
        <v>4.04</v>
      </c>
      <c r="BF4" s="58">
        <v>147.25800000000001</v>
      </c>
    </row>
    <row r="5" spans="1:60" s="15" customFormat="1" x14ac:dyDescent="0.25">
      <c r="B5" s="1" t="s">
        <v>221</v>
      </c>
      <c r="C5" s="7">
        <f>'Pathways Data Alignment'!K32</f>
        <v>15.4</v>
      </c>
      <c r="D5" s="15" t="s">
        <v>121</v>
      </c>
      <c r="E5" s="23"/>
      <c r="G5" s="1" t="s">
        <v>474</v>
      </c>
      <c r="H5" s="15">
        <v>9.0150000000000006</v>
      </c>
      <c r="I5" s="15" t="s">
        <v>475</v>
      </c>
      <c r="N5" s="1" t="s">
        <v>236</v>
      </c>
      <c r="O5" s="15">
        <v>0.22</v>
      </c>
      <c r="P5" s="15" t="s">
        <v>2</v>
      </c>
      <c r="S5" s="70" t="s">
        <v>469</v>
      </c>
      <c r="T5" s="13">
        <v>0.5</v>
      </c>
      <c r="U5" s="15" t="s">
        <v>470</v>
      </c>
      <c r="V5" s="23"/>
      <c r="W5" s="1" t="s">
        <v>251</v>
      </c>
      <c r="X5" s="26">
        <v>0.22</v>
      </c>
      <c r="Y5" s="26" t="s">
        <v>200</v>
      </c>
      <c r="AA5" s="62"/>
      <c r="AE5" s="1" t="s">
        <v>409</v>
      </c>
      <c r="AF5" s="24">
        <v>16100</v>
      </c>
      <c r="AG5" s="62" t="s">
        <v>397</v>
      </c>
      <c r="AH5" s="63"/>
      <c r="AI5" s="63"/>
      <c r="AJ5" s="67"/>
      <c r="AK5" s="68"/>
      <c r="AL5" s="53"/>
      <c r="AS5" s="26"/>
      <c r="AT5" s="26"/>
      <c r="AU5" s="26"/>
      <c r="AV5" s="56"/>
      <c r="AW5" s="56"/>
      <c r="AY5" s="1" t="s">
        <v>297</v>
      </c>
      <c r="AZ5" s="7">
        <v>4.5</v>
      </c>
      <c r="BA5" s="58">
        <v>800</v>
      </c>
      <c r="BD5" s="1" t="s">
        <v>302</v>
      </c>
      <c r="BE5" s="7">
        <v>1.77</v>
      </c>
      <c r="BF5" s="58">
        <v>155.15199999999999</v>
      </c>
    </row>
    <row r="6" spans="1:60" s="15" customFormat="1" x14ac:dyDescent="0.25">
      <c r="A6" s="46" t="s">
        <v>290</v>
      </c>
      <c r="S6" s="1" t="s">
        <v>239</v>
      </c>
      <c r="T6" s="24">
        <f>'Pathways Background Calcs'!B51</f>
        <v>647745.12</v>
      </c>
      <c r="U6" s="23" t="s">
        <v>164</v>
      </c>
      <c r="V6" s="23"/>
      <c r="W6" s="1" t="s">
        <v>240</v>
      </c>
      <c r="X6" s="51">
        <v>3</v>
      </c>
      <c r="Y6" s="23" t="s">
        <v>167</v>
      </c>
      <c r="AA6" s="62"/>
      <c r="AE6" s="70" t="s">
        <v>471</v>
      </c>
      <c r="AF6" s="13">
        <v>1.5</v>
      </c>
      <c r="AG6" s="23" t="s">
        <v>401</v>
      </c>
      <c r="AH6" s="63"/>
      <c r="AI6" s="63"/>
      <c r="AS6" s="26"/>
      <c r="AT6" s="26"/>
      <c r="AU6" s="26"/>
      <c r="AV6" s="56"/>
      <c r="AW6" s="56"/>
      <c r="AY6" s="1" t="s">
        <v>298</v>
      </c>
      <c r="AZ6" s="7">
        <v>2</v>
      </c>
      <c r="BA6" s="58">
        <v>380</v>
      </c>
      <c r="BD6" s="1" t="s">
        <v>305</v>
      </c>
      <c r="BE6" s="4">
        <v>1.1000000000000001</v>
      </c>
      <c r="BF6" s="58">
        <v>800</v>
      </c>
    </row>
    <row r="7" spans="1:60" s="23" customFormat="1" x14ac:dyDescent="0.25">
      <c r="A7" s="50" t="s">
        <v>291</v>
      </c>
      <c r="B7" s="1"/>
      <c r="C7" s="7"/>
      <c r="S7" s="1" t="s">
        <v>338</v>
      </c>
      <c r="T7" s="27">
        <v>2.8000000000000001E-2</v>
      </c>
      <c r="U7" s="23" t="s">
        <v>337</v>
      </c>
      <c r="AA7" s="62"/>
      <c r="AE7" s="1" t="s">
        <v>382</v>
      </c>
      <c r="AF7" s="24">
        <v>1760</v>
      </c>
      <c r="AG7" s="62" t="s">
        <v>375</v>
      </c>
      <c r="AH7" s="63"/>
      <c r="AI7" s="63"/>
      <c r="AJ7" s="63"/>
      <c r="AS7" s="26"/>
      <c r="AT7" s="26"/>
      <c r="AU7" s="26"/>
      <c r="AV7" s="56"/>
      <c r="AW7" s="56"/>
      <c r="AY7" s="1" t="s">
        <v>299</v>
      </c>
      <c r="AZ7" s="7">
        <v>1.48</v>
      </c>
      <c r="BA7" s="58">
        <v>80</v>
      </c>
    </row>
    <row r="8" spans="1:60" s="23" customFormat="1" x14ac:dyDescent="0.25">
      <c r="A8" s="16" t="s">
        <v>292</v>
      </c>
      <c r="B8" s="1"/>
      <c r="C8" s="7"/>
      <c r="S8" s="1" t="s">
        <v>376</v>
      </c>
      <c r="T8" s="50">
        <v>25</v>
      </c>
      <c r="U8" s="23" t="s">
        <v>377</v>
      </c>
      <c r="AA8" s="62"/>
      <c r="AB8" s="82" t="s">
        <v>437</v>
      </c>
      <c r="AC8" s="82"/>
      <c r="AD8" s="82"/>
      <c r="AE8" s="82"/>
      <c r="AF8" s="82" t="s">
        <v>438</v>
      </c>
      <c r="AG8" s="82"/>
      <c r="AH8" s="82" t="s">
        <v>439</v>
      </c>
      <c r="AI8" s="82"/>
      <c r="AJ8" s="82"/>
      <c r="AK8" s="82" t="s">
        <v>440</v>
      </c>
      <c r="AL8" s="82"/>
      <c r="AM8" s="82"/>
      <c r="AN8" s="82"/>
      <c r="AO8" s="82"/>
      <c r="AS8" s="26"/>
      <c r="AT8" s="26"/>
      <c r="AU8" s="26"/>
      <c r="AV8" s="56"/>
      <c r="AW8" s="56"/>
    </row>
    <row r="9" spans="1:60" ht="105" customHeight="1" x14ac:dyDescent="0.25">
      <c r="A9" s="52" t="s">
        <v>333</v>
      </c>
      <c r="B9" s="3" t="s">
        <v>476</v>
      </c>
      <c r="C9" s="3" t="s">
        <v>122</v>
      </c>
      <c r="D9" s="3" t="s">
        <v>128</v>
      </c>
      <c r="E9" s="3" t="s">
        <v>125</v>
      </c>
      <c r="F9" s="3" t="s">
        <v>126</v>
      </c>
      <c r="G9" s="3" t="s">
        <v>127</v>
      </c>
      <c r="H9" s="3" t="s">
        <v>124</v>
      </c>
      <c r="I9" s="3" t="s">
        <v>123</v>
      </c>
      <c r="J9" s="42" t="s">
        <v>225</v>
      </c>
      <c r="K9" s="3" t="s">
        <v>227</v>
      </c>
      <c r="L9" s="42" t="s">
        <v>129</v>
      </c>
      <c r="N9" s="3" t="s">
        <v>118</v>
      </c>
      <c r="O9" s="3" t="s">
        <v>149</v>
      </c>
      <c r="P9" s="3" t="s">
        <v>472</v>
      </c>
      <c r="R9" s="3" t="s">
        <v>162</v>
      </c>
      <c r="S9" s="42" t="s">
        <v>165</v>
      </c>
      <c r="T9" s="3" t="s">
        <v>166</v>
      </c>
      <c r="U9" s="3" t="s">
        <v>249</v>
      </c>
      <c r="V9" s="3" t="s">
        <v>339</v>
      </c>
      <c r="W9" s="3" t="s">
        <v>170</v>
      </c>
      <c r="X9" s="3" t="s">
        <v>185</v>
      </c>
      <c r="Y9" s="3" t="s">
        <v>473</v>
      </c>
      <c r="Z9" s="3" t="s">
        <v>254</v>
      </c>
      <c r="AA9" s="3"/>
      <c r="AB9" s="3" t="s">
        <v>435</v>
      </c>
      <c r="AC9" s="3" t="s">
        <v>416</v>
      </c>
      <c r="AD9" s="3" t="s">
        <v>442</v>
      </c>
      <c r="AE9" s="3" t="s">
        <v>436</v>
      </c>
      <c r="AF9" s="3" t="s">
        <v>417</v>
      </c>
      <c r="AG9" s="3" t="s">
        <v>444</v>
      </c>
      <c r="AH9" s="3" t="s">
        <v>446</v>
      </c>
      <c r="AI9" s="3" t="s">
        <v>450</v>
      </c>
      <c r="AJ9" s="3" t="s">
        <v>405</v>
      </c>
      <c r="AK9" s="3" t="s">
        <v>406</v>
      </c>
      <c r="AL9" s="3" t="s">
        <v>451</v>
      </c>
      <c r="AM9" s="3" t="s">
        <v>411</v>
      </c>
      <c r="AN9" s="3" t="s">
        <v>413</v>
      </c>
      <c r="AO9" s="42" t="s">
        <v>202</v>
      </c>
      <c r="AP9" s="3" t="s">
        <v>205</v>
      </c>
      <c r="AQ9" s="42" t="s">
        <v>206</v>
      </c>
      <c r="AS9" s="28" t="s">
        <v>284</v>
      </c>
      <c r="AT9" s="60" t="s">
        <v>285</v>
      </c>
      <c r="AU9" s="26"/>
      <c r="AV9" s="60" t="s">
        <v>318</v>
      </c>
      <c r="AX9" s="28" t="s">
        <v>306</v>
      </c>
      <c r="AY9" s="28" t="s">
        <v>307</v>
      </c>
      <c r="AZ9" s="28" t="s">
        <v>308</v>
      </c>
      <c r="BA9" s="28" t="s">
        <v>309</v>
      </c>
      <c r="BB9" s="28" t="s">
        <v>310</v>
      </c>
      <c r="BC9" s="28" t="s">
        <v>311</v>
      </c>
      <c r="BD9" s="28" t="s">
        <v>312</v>
      </c>
      <c r="BE9" s="28" t="s">
        <v>313</v>
      </c>
      <c r="BF9" s="28" t="s">
        <v>314</v>
      </c>
      <c r="BG9" s="28" t="s">
        <v>315</v>
      </c>
      <c r="BH9" s="60" t="s">
        <v>319</v>
      </c>
    </row>
    <row r="10" spans="1:60" x14ac:dyDescent="0.25">
      <c r="A10">
        <v>2020</v>
      </c>
      <c r="B10" s="27">
        <v>0</v>
      </c>
      <c r="C10" s="7">
        <f>$C$5</f>
        <v>15.4</v>
      </c>
      <c r="D10" s="15">
        <f t="shared" ref="D10:D20" si="0">$C$5*$C$4</f>
        <v>0.77</v>
      </c>
      <c r="E10" s="4">
        <f t="shared" ref="E10:E20" si="1">$H$4*C10</f>
        <v>1.54</v>
      </c>
      <c r="F10">
        <v>0</v>
      </c>
      <c r="G10" s="7">
        <f t="shared" ref="G10:G20" si="2">(C10-D10-E10)*(1-F10)</f>
        <v>13.09</v>
      </c>
      <c r="H10" s="7">
        <f>D10+E10+G10</f>
        <v>15.4</v>
      </c>
      <c r="I10" s="8">
        <f>C10*$H$5</f>
        <v>138.83100000000002</v>
      </c>
      <c r="J10" s="8">
        <f>'Pathways Data Alignment'!H21</f>
        <v>155.75</v>
      </c>
      <c r="K10" s="7">
        <f>'Pathways Data Alignment'!$H$32*H10/$C$5</f>
        <v>19.055103734439832</v>
      </c>
      <c r="L10" s="7">
        <f>K10+'Pathways Data Alignment'!$H$33</f>
        <v>29.82</v>
      </c>
      <c r="N10" s="7">
        <f t="shared" ref="N10:N20" si="3">C10-H10</f>
        <v>0</v>
      </c>
      <c r="O10">
        <f t="shared" ref="O10:O20" si="4">N10*$O$3/$O$4</f>
        <v>0</v>
      </c>
      <c r="P10">
        <f t="shared" ref="P10:P20" si="5">$O$5*O10</f>
        <v>0</v>
      </c>
      <c r="R10" s="10">
        <v>0</v>
      </c>
      <c r="S10" s="7">
        <f t="shared" ref="S10:S20" si="6">$T$3*(1-R10)</f>
        <v>35.341999999999999</v>
      </c>
      <c r="T10" s="24">
        <f t="shared" ref="T10:T20" si="7">$T$6*(1-R10)</f>
        <v>647745.12</v>
      </c>
      <c r="U10" s="31">
        <f>T10*22.8/1000000</f>
        <v>14.768588736</v>
      </c>
      <c r="V10" s="31">
        <f>U10*$T$7*$T$8</f>
        <v>10.3380121152</v>
      </c>
      <c r="W10" s="26">
        <f t="shared" ref="W10:W20" si="8">0.000301*($T$6-T10)</f>
        <v>0</v>
      </c>
      <c r="X10">
        <f t="shared" ref="X10:X20" si="9">W10/$X$6</f>
        <v>0</v>
      </c>
      <c r="Y10" s="26">
        <f t="shared" ref="Y10:Y20" si="10">$X$5*X10</f>
        <v>0</v>
      </c>
      <c r="Z10">
        <f t="shared" ref="Z10:Z20" si="11">$X$4*X10</f>
        <v>0</v>
      </c>
      <c r="AB10" s="8">
        <f t="shared" ref="AB10:AB20" si="12">$AF$2</f>
        <v>283.39999999999998</v>
      </c>
      <c r="AC10" s="63">
        <v>0</v>
      </c>
      <c r="AD10" s="7">
        <f t="shared" ref="AD10:AD20" si="13">AC10*(1+$AK$3)*AK10</f>
        <v>0</v>
      </c>
      <c r="AE10" s="8">
        <f>AB10-AC10+O10+X10</f>
        <v>283.39999999999998</v>
      </c>
      <c r="AF10" s="8">
        <v>0</v>
      </c>
      <c r="AG10" s="7">
        <f t="shared" ref="AG10:AG20" si="14">AF10*(1+$AK$3)*AK10</f>
        <v>0</v>
      </c>
      <c r="AH10" s="8">
        <f t="shared" ref="AH10:AH20" si="15">AE10-AF10</f>
        <v>283.39999999999998</v>
      </c>
      <c r="AI10" s="8">
        <f t="shared" ref="AI10:AI20" si="16">AH10*$AK$3</f>
        <v>23.838088678310676</v>
      </c>
      <c r="AJ10" s="8">
        <f>AH10+AI10</f>
        <v>307.23808867831065</v>
      </c>
      <c r="AK10" s="30">
        <f>'Pathways Background Calcs'!I114</f>
        <v>0.20327363636363638</v>
      </c>
      <c r="AL10" s="69">
        <f>AJ10*($AK$10-AK10)</f>
        <v>0</v>
      </c>
      <c r="AM10" s="7">
        <f t="shared" ref="AM10:AM20" si="17">O10*(1+$AK$3)*AK10</f>
        <v>0</v>
      </c>
      <c r="AN10" s="7">
        <f t="shared" ref="AN10:AN20" si="18">X10*(1+$AK$3)*AK10</f>
        <v>0</v>
      </c>
      <c r="AO10" s="7">
        <f>AJ10*AK10</f>
        <v>62.453403515053587</v>
      </c>
      <c r="AP10" s="10">
        <v>0</v>
      </c>
      <c r="AQ10" s="7">
        <f>'Pathways Data Alignment'!H24</f>
        <v>45.38</v>
      </c>
      <c r="AS10" s="10">
        <v>0</v>
      </c>
      <c r="AT10" s="7">
        <f>'Pathways Data Alignment'!$H$62</f>
        <v>11.62</v>
      </c>
      <c r="AU10" s="26"/>
      <c r="AV10" s="8">
        <f>AO10+J10+'Pathways Data Alignment'!$H$22+AQ10+'Pathways Data Alignment'!$H$28+K10+'Pathways Data Alignment'!$H$33+S10+'Pathways Data Alignment'!$J$44+'Pathways Data Alignment'!$H$56+AT10</f>
        <v>423.96340351505359</v>
      </c>
      <c r="BH10" s="8">
        <f>AV10-BG10</f>
        <v>423.96340351505359</v>
      </c>
    </row>
    <row r="11" spans="1:60" x14ac:dyDescent="0.25">
      <c r="A11">
        <v>2021</v>
      </c>
      <c r="B11" s="27">
        <f>$C$3/10*(1-$C$4)</f>
        <v>1.9E-2</v>
      </c>
      <c r="C11" s="7">
        <f>$C$10*(1-B11)</f>
        <v>15.1074</v>
      </c>
      <c r="D11" s="23">
        <f t="shared" si="0"/>
        <v>0.77</v>
      </c>
      <c r="E11" s="4">
        <f t="shared" si="1"/>
        <v>1.5107400000000002</v>
      </c>
      <c r="F11" s="12">
        <f>$H$3/10</f>
        <v>0.05</v>
      </c>
      <c r="G11" s="7">
        <f t="shared" si="2"/>
        <v>12.185326999999999</v>
      </c>
      <c r="H11" s="7">
        <f t="shared" ref="H11:H20" si="19">D11+E11+G11</f>
        <v>14.466066999999999</v>
      </c>
      <c r="I11" s="8">
        <f t="shared" ref="I11:I20" si="20">H11*$H$5</f>
        <v>130.41159400500001</v>
      </c>
      <c r="J11" s="8">
        <f>(J10-I10)+I11</f>
        <v>147.33059400499999</v>
      </c>
      <c r="K11" s="7">
        <f>'Pathways Data Alignment'!$H$32*H11/$C$5</f>
        <v>17.899506968464728</v>
      </c>
      <c r="L11" s="7">
        <f>K11+'Pathways Data Alignment'!$H$33</f>
        <v>28.664403234024896</v>
      </c>
      <c r="N11" s="7">
        <f t="shared" si="3"/>
        <v>0.64133300000000126</v>
      </c>
      <c r="O11" s="7">
        <f t="shared" si="4"/>
        <v>7.2043073666666819</v>
      </c>
      <c r="P11" s="7">
        <f t="shared" si="5"/>
        <v>1.5849476206666699</v>
      </c>
      <c r="R11" s="12">
        <f>$T$5/10*(1-$T$4)</f>
        <v>4.4500000000000005E-2</v>
      </c>
      <c r="S11" s="7">
        <f t="shared" si="6"/>
        <v>33.769280999999999</v>
      </c>
      <c r="T11" s="24">
        <f t="shared" si="7"/>
        <v>618920.46216</v>
      </c>
      <c r="U11" s="31">
        <f t="shared" ref="U11:U20" si="21">T11*22.8/1000000</f>
        <v>14.111386537248</v>
      </c>
      <c r="V11" s="31">
        <f t="shared" ref="V11:V20" si="22">U11*$T$7*$T$8</f>
        <v>9.877970576073599</v>
      </c>
      <c r="W11" s="36">
        <f t="shared" si="8"/>
        <v>8.67622200984</v>
      </c>
      <c r="X11" s="7">
        <f t="shared" si="9"/>
        <v>2.8920740032799999</v>
      </c>
      <c r="Y11" s="7">
        <f t="shared" si="10"/>
        <v>0.63625628072160001</v>
      </c>
      <c r="Z11" s="7">
        <f t="shared" si="11"/>
        <v>0.25450251228863996</v>
      </c>
      <c r="AA11" s="7"/>
      <c r="AB11" s="8">
        <f t="shared" si="12"/>
        <v>283.39999999999998</v>
      </c>
      <c r="AC11" s="8">
        <f t="shared" ref="AC11:AC20" si="23">AC10+$AF$3*$AF$4/10/1000</f>
        <v>10.35</v>
      </c>
      <c r="AD11" s="7">
        <f t="shared" si="13"/>
        <v>2.1030898309553985</v>
      </c>
      <c r="AE11" s="8">
        <f t="shared" ref="AE11:AE20" si="24">AB11-AC11+O11+X11</f>
        <v>283.14638136994665</v>
      </c>
      <c r="AF11" s="8">
        <f t="shared" ref="AF11:AF20" si="25">AF10+$AF$5*$AF$6/10*$AF$7/1000000</f>
        <v>4.2504</v>
      </c>
      <c r="AG11" s="7">
        <f t="shared" si="14"/>
        <v>0.86366889057901686</v>
      </c>
      <c r="AH11" s="8">
        <f t="shared" si="15"/>
        <v>278.89598136994664</v>
      </c>
      <c r="AI11" s="8">
        <f t="shared" si="16"/>
        <v>23.459234777421564</v>
      </c>
      <c r="AJ11" s="8">
        <f t="shared" ref="AJ11:AJ20" si="26">AH11+AI11</f>
        <v>302.3552161473682</v>
      </c>
      <c r="AK11" s="30">
        <f>'Pathways Background Calcs'!I115</f>
        <v>0.18743136363636362</v>
      </c>
      <c r="AL11" s="69">
        <f t="shared" ref="AL11:AL20" si="27">AJ11*($AK$10-AK11)</f>
        <v>4.7899937947201119</v>
      </c>
      <c r="AM11" s="7">
        <f t="shared" si="17"/>
        <v>1.4638942571897355</v>
      </c>
      <c r="AN11" s="7">
        <f t="shared" si="18"/>
        <v>0.58766100740759786</v>
      </c>
      <c r="AO11" s="7">
        <f t="shared" ref="AO11:AO19" si="28">AJ11*AK11</f>
        <v>56.670850465068689</v>
      </c>
      <c r="AP11" s="10">
        <f t="shared" ref="AP11:AP20" si="29">AP10+$AQ$4/10</f>
        <v>0.03</v>
      </c>
      <c r="AQ11" s="7">
        <f t="shared" ref="AQ11:AQ20" si="30">$AQ$10*(1-AP11)</f>
        <v>44.018599999999999</v>
      </c>
      <c r="AS11" s="10">
        <f t="shared" ref="AS11:AS20" si="31">AS10+$AT$4/10</f>
        <v>0.03</v>
      </c>
      <c r="AT11" s="7">
        <f t="shared" ref="AT11:AT20" si="32">$AT$10*(1-AS11)</f>
        <v>11.271399999999998</v>
      </c>
      <c r="AU11" s="26"/>
      <c r="AV11" s="8">
        <f>AO11+J11+'Pathways Data Alignment'!$H$22+AQ11+'Pathways Data Alignment'!$H$28+K11+'Pathways Data Alignment'!$H$33+S11+'Pathways Data Alignment'!$J$44+'Pathways Data Alignment'!$H$56+AT11</f>
        <v>405.32312870409356</v>
      </c>
      <c r="AX11" s="36">
        <f>$AZ$3*$BA$3/1000</f>
        <v>0.52448000000000006</v>
      </c>
      <c r="AY11" s="36">
        <f>$AZ$4*$BA$4/1000</f>
        <v>3.4649999999999999</v>
      </c>
      <c r="AZ11" s="36">
        <f>$AZ$5*$BA$5/1000</f>
        <v>3.6</v>
      </c>
      <c r="BA11" s="36">
        <f>$AZ$6*$BA$6/1000</f>
        <v>0.76</v>
      </c>
      <c r="BB11" s="36">
        <f>$AZ$7*$BA$7/1000</f>
        <v>0.11840000000000001</v>
      </c>
      <c r="BC11" s="36">
        <f>$BE$3*$BF$3/1000</f>
        <v>2.18E-2</v>
      </c>
      <c r="BD11" s="36">
        <f>$BE$4*$BF$4/1000</f>
        <v>0.59492232</v>
      </c>
      <c r="BE11" s="36">
        <f>$BE$5*$BF$5/1000</f>
        <v>0.27461903999999998</v>
      </c>
      <c r="BF11" s="36">
        <f>$BE$6*$BF$6/1000</f>
        <v>0.88000000000000012</v>
      </c>
      <c r="BG11" s="5">
        <f>SUM(AX11:BF11)</f>
        <v>10.23922136</v>
      </c>
      <c r="BH11" s="8">
        <f t="shared" ref="BH11:BH20" si="33">AV11-BG11</f>
        <v>395.08390734409357</v>
      </c>
    </row>
    <row r="12" spans="1:60" x14ac:dyDescent="0.25">
      <c r="A12" s="15">
        <v>2022</v>
      </c>
      <c r="B12" s="27">
        <f t="shared" ref="B12:B20" si="34">B11+$C$3/10*(1-$C$4)</f>
        <v>3.7999999999999999E-2</v>
      </c>
      <c r="C12" s="7">
        <f t="shared" ref="C12:C20" si="35">$C$10*(1-B12)</f>
        <v>14.8148</v>
      </c>
      <c r="D12" s="23">
        <f t="shared" si="0"/>
        <v>0.77</v>
      </c>
      <c r="E12" s="4">
        <f t="shared" si="1"/>
        <v>1.4814800000000001</v>
      </c>
      <c r="F12" s="25">
        <f t="shared" ref="F12:F20" si="36">F11+$H$3/10</f>
        <v>0.1</v>
      </c>
      <c r="G12" s="7">
        <f t="shared" si="2"/>
        <v>11.306988</v>
      </c>
      <c r="H12" s="7">
        <f t="shared" si="19"/>
        <v>13.558468000000001</v>
      </c>
      <c r="I12" s="8">
        <f t="shared" si="20"/>
        <v>122.22958902000002</v>
      </c>
      <c r="J12" s="8">
        <f t="shared" ref="J12:J20" si="37">(J11-I11)+I12</f>
        <v>139.14858902</v>
      </c>
      <c r="K12" s="7">
        <f>'Pathways Data Alignment'!$H$32*H12/$C$5</f>
        <v>16.776494429875516</v>
      </c>
      <c r="L12" s="7">
        <f>K12+'Pathways Data Alignment'!$H$33</f>
        <v>27.541390695435684</v>
      </c>
      <c r="N12" s="7">
        <f t="shared" si="3"/>
        <v>1.2563319999999987</v>
      </c>
      <c r="O12" s="7">
        <f t="shared" si="4"/>
        <v>14.112796133333319</v>
      </c>
      <c r="P12" s="7">
        <f t="shared" si="5"/>
        <v>3.10481514933333</v>
      </c>
      <c r="R12" s="12">
        <f t="shared" ref="R12:R20" si="38">R11+$T$5/10*(1-$T$4)</f>
        <v>8.900000000000001E-2</v>
      </c>
      <c r="S12" s="7">
        <f t="shared" si="6"/>
        <v>32.196562</v>
      </c>
      <c r="T12" s="24">
        <f t="shared" si="7"/>
        <v>590095.80432</v>
      </c>
      <c r="U12" s="31">
        <f t="shared" si="21"/>
        <v>13.454184338495999</v>
      </c>
      <c r="V12" s="31">
        <f t="shared" si="22"/>
        <v>9.4179290369472</v>
      </c>
      <c r="W12" s="36">
        <f t="shared" si="8"/>
        <v>17.35244401968</v>
      </c>
      <c r="X12" s="7">
        <f t="shared" si="9"/>
        <v>5.7841480065599997</v>
      </c>
      <c r="Y12" s="7">
        <f t="shared" si="10"/>
        <v>1.2725125614432</v>
      </c>
      <c r="Z12" s="7">
        <f t="shared" si="11"/>
        <v>0.50900502457727992</v>
      </c>
      <c r="AA12" s="7"/>
      <c r="AB12" s="8">
        <f t="shared" si="12"/>
        <v>283.39999999999998</v>
      </c>
      <c r="AC12" s="8">
        <f t="shared" si="23"/>
        <v>20.7</v>
      </c>
      <c r="AD12" s="7">
        <f t="shared" si="13"/>
        <v>3.8506604785089285</v>
      </c>
      <c r="AE12" s="8">
        <f t="shared" si="24"/>
        <v>282.59694413989331</v>
      </c>
      <c r="AF12" s="8">
        <f t="shared" si="25"/>
        <v>8.5007999999999999</v>
      </c>
      <c r="AG12" s="7">
        <f t="shared" si="14"/>
        <v>1.5813379031743331</v>
      </c>
      <c r="AH12" s="8">
        <f t="shared" si="15"/>
        <v>274.09614413989328</v>
      </c>
      <c r="AI12" s="8">
        <f t="shared" si="16"/>
        <v>23.055498201798876</v>
      </c>
      <c r="AJ12" s="8">
        <f t="shared" si="26"/>
        <v>297.15164234169214</v>
      </c>
      <c r="AK12" s="30">
        <f>'Pathways Background Calcs'!I116</f>
        <v>0.17158909090909089</v>
      </c>
      <c r="AL12" s="69">
        <f t="shared" si="27"/>
        <v>9.4151147186681889</v>
      </c>
      <c r="AM12" s="7">
        <f t="shared" si="17"/>
        <v>2.6252940247285133</v>
      </c>
      <c r="AN12" s="7">
        <f t="shared" si="18"/>
        <v>1.0759801995510527</v>
      </c>
      <c r="AO12" s="7">
        <f t="shared" si="28"/>
        <v>50.98798017155427</v>
      </c>
      <c r="AP12" s="10">
        <f t="shared" si="29"/>
        <v>0.06</v>
      </c>
      <c r="AQ12" s="7">
        <f t="shared" si="30"/>
        <v>42.657200000000003</v>
      </c>
      <c r="AS12" s="10">
        <f t="shared" si="31"/>
        <v>0.06</v>
      </c>
      <c r="AT12" s="7">
        <f t="shared" si="32"/>
        <v>10.922799999999999</v>
      </c>
      <c r="AU12" s="26"/>
      <c r="AV12" s="8">
        <f>AO12+J12+'Pathways Data Alignment'!$H$22+AQ12+'Pathways Data Alignment'!$H$28+K12+'Pathways Data Alignment'!$H$33+S12+'Pathways Data Alignment'!$J$44+'Pathways Data Alignment'!$H$56+AT12</f>
        <v>387.05252188698989</v>
      </c>
      <c r="AX12" s="36">
        <f>$AZ$3*$BA$3/1000+AX11</f>
        <v>1.0489600000000001</v>
      </c>
      <c r="AY12" s="36">
        <f>$AZ$4*$BA$4/1000+AY11</f>
        <v>6.93</v>
      </c>
      <c r="AZ12" s="36">
        <f>$AZ$5*$BA$5/1000+AZ11</f>
        <v>7.2</v>
      </c>
      <c r="BA12" s="36">
        <f>$AZ$6*$BA$6/1000+BA11</f>
        <v>1.52</v>
      </c>
      <c r="BB12" s="36">
        <f>$AZ$7*$BA$7/1000+BB11</f>
        <v>0.23680000000000001</v>
      </c>
      <c r="BC12" s="36">
        <f>$BE$3*$BF$3/1000+BC11</f>
        <v>4.36E-2</v>
      </c>
      <c r="BD12" s="36">
        <f>$BE$4*$BF$4/1000+BD11</f>
        <v>1.18984464</v>
      </c>
      <c r="BE12" s="36">
        <f>$BE$5*$BF$5/1000+BE11</f>
        <v>0.54923807999999996</v>
      </c>
      <c r="BF12" s="36">
        <f>$BE$6*$BF$6/1000+BF11</f>
        <v>1.7600000000000002</v>
      </c>
      <c r="BG12" s="5">
        <f t="shared" ref="BG12:BG20" si="39">SUM(AX12:BF12)</f>
        <v>20.47844272</v>
      </c>
      <c r="BH12" s="8">
        <f t="shared" si="33"/>
        <v>366.57407916698992</v>
      </c>
    </row>
    <row r="13" spans="1:60" x14ac:dyDescent="0.25">
      <c r="A13" s="15">
        <v>2023</v>
      </c>
      <c r="B13" s="27">
        <f t="shared" si="34"/>
        <v>5.6999999999999995E-2</v>
      </c>
      <c r="C13" s="7">
        <f t="shared" si="35"/>
        <v>14.522200000000002</v>
      </c>
      <c r="D13" s="23">
        <f t="shared" si="0"/>
        <v>0.77</v>
      </c>
      <c r="E13" s="4">
        <f t="shared" si="1"/>
        <v>1.4522200000000003</v>
      </c>
      <c r="F13" s="25">
        <f t="shared" si="36"/>
        <v>0.15000000000000002</v>
      </c>
      <c r="G13" s="7">
        <f t="shared" si="2"/>
        <v>10.454983</v>
      </c>
      <c r="H13" s="7">
        <f t="shared" si="19"/>
        <v>12.677203</v>
      </c>
      <c r="I13" s="8">
        <f t="shared" si="20"/>
        <v>114.28498504500001</v>
      </c>
      <c r="J13" s="8">
        <f t="shared" si="37"/>
        <v>131.203985045</v>
      </c>
      <c r="K13" s="7">
        <f>'Pathways Data Alignment'!$H$32*H13/$C$5</f>
        <v>15.686066118672198</v>
      </c>
      <c r="L13" s="7">
        <f>K13+'Pathways Data Alignment'!$H$33</f>
        <v>26.450962384232366</v>
      </c>
      <c r="N13" s="7">
        <f t="shared" si="3"/>
        <v>1.8449970000000011</v>
      </c>
      <c r="O13" s="7">
        <f t="shared" si="4"/>
        <v>20.725466300000015</v>
      </c>
      <c r="P13" s="7">
        <f t="shared" si="5"/>
        <v>4.5596025860000031</v>
      </c>
      <c r="R13" s="12">
        <f t="shared" si="38"/>
        <v>0.13350000000000001</v>
      </c>
      <c r="S13" s="7">
        <f t="shared" si="6"/>
        <v>30.623843000000001</v>
      </c>
      <c r="T13" s="24">
        <f t="shared" si="7"/>
        <v>561271.14648</v>
      </c>
      <c r="U13" s="31">
        <f t="shared" si="21"/>
        <v>12.796982139744001</v>
      </c>
      <c r="V13" s="31">
        <f t="shared" si="22"/>
        <v>8.957887497820801</v>
      </c>
      <c r="W13" s="36">
        <f t="shared" si="8"/>
        <v>26.02866602952</v>
      </c>
      <c r="X13" s="7">
        <f t="shared" si="9"/>
        <v>8.67622200984</v>
      </c>
      <c r="Y13" s="7">
        <f t="shared" si="10"/>
        <v>1.9087688421647999</v>
      </c>
      <c r="Z13" s="7">
        <f t="shared" si="11"/>
        <v>0.76350753686591999</v>
      </c>
      <c r="AA13" s="7"/>
      <c r="AB13" s="8">
        <f t="shared" si="12"/>
        <v>283.39999999999998</v>
      </c>
      <c r="AC13" s="8">
        <f t="shared" si="23"/>
        <v>31.049999999999997</v>
      </c>
      <c r="AD13" s="7">
        <f t="shared" si="13"/>
        <v>5.2427119426605913</v>
      </c>
      <c r="AE13" s="8">
        <f t="shared" si="24"/>
        <v>281.75168830983995</v>
      </c>
      <c r="AF13" s="8">
        <f t="shared" si="25"/>
        <v>12.751200000000001</v>
      </c>
      <c r="AG13" s="7">
        <f t="shared" si="14"/>
        <v>2.1530070377859496</v>
      </c>
      <c r="AH13" s="8">
        <f t="shared" si="15"/>
        <v>269.00048830983997</v>
      </c>
      <c r="AI13" s="8">
        <f t="shared" si="16"/>
        <v>22.626878951442624</v>
      </c>
      <c r="AJ13" s="8">
        <f t="shared" si="26"/>
        <v>291.62736726128259</v>
      </c>
      <c r="AK13" s="30">
        <f>'Pathways Background Calcs'!I117</f>
        <v>0.15574681818181821</v>
      </c>
      <c r="AL13" s="69">
        <f t="shared" si="27"/>
        <v>13.860120860669291</v>
      </c>
      <c r="AM13" s="7">
        <f t="shared" si="17"/>
        <v>3.4994412137912945</v>
      </c>
      <c r="AN13" s="7">
        <f t="shared" si="18"/>
        <v>1.4649575764303653</v>
      </c>
      <c r="AO13" s="7">
        <f t="shared" si="28"/>
        <v>45.420034545685304</v>
      </c>
      <c r="AP13" s="10">
        <f t="shared" si="29"/>
        <v>0.09</v>
      </c>
      <c r="AQ13" s="7">
        <f t="shared" si="30"/>
        <v>41.295800000000007</v>
      </c>
      <c r="AS13" s="10">
        <f t="shared" si="31"/>
        <v>0.09</v>
      </c>
      <c r="AT13" s="7">
        <f t="shared" si="32"/>
        <v>10.574199999999999</v>
      </c>
      <c r="AU13" s="26"/>
      <c r="AV13" s="8">
        <f>AO13+J13+'Pathways Data Alignment'!$H$22+AQ13+'Pathways Data Alignment'!$H$28+K13+'Pathways Data Alignment'!$H$33+S13+'Pathways Data Alignment'!$J$44+'Pathways Data Alignment'!$H$56+AT13</f>
        <v>369.16682497491774</v>
      </c>
      <c r="AX13" s="36">
        <f t="shared" ref="AX13:AX20" si="40">$AZ$3*$BA$3/1000+AX12</f>
        <v>1.5734400000000002</v>
      </c>
      <c r="AY13" s="36">
        <f t="shared" ref="AY13:AY20" si="41">$AZ$4*$BA$4/1000+AY12</f>
        <v>10.395</v>
      </c>
      <c r="AZ13" s="36">
        <f t="shared" ref="AZ13:AZ20" si="42">$AZ$5*$BA$5/1000+AZ12</f>
        <v>10.8</v>
      </c>
      <c r="BA13" s="36">
        <f t="shared" ref="BA13:BA20" si="43">$AZ$6*$BA$6/1000+BA12</f>
        <v>2.2800000000000002</v>
      </c>
      <c r="BB13" s="36">
        <f t="shared" ref="BB13:BB20" si="44">$AZ$7*$BA$7/1000+BB12</f>
        <v>0.35520000000000002</v>
      </c>
      <c r="BC13" s="36">
        <f t="shared" ref="BC13:BC20" si="45">$BE$3*$BF$3/1000+BC12</f>
        <v>6.54E-2</v>
      </c>
      <c r="BD13" s="36">
        <f t="shared" ref="BD13:BD20" si="46">$BE$4*$BF$4/1000+BD12</f>
        <v>1.78476696</v>
      </c>
      <c r="BE13" s="36">
        <f t="shared" ref="BE13:BE20" si="47">$BE$5*$BF$5/1000+BE12</f>
        <v>0.82385712</v>
      </c>
      <c r="BF13" s="36">
        <f t="shared" ref="BF13:BF20" si="48">$BE$6*$BF$6/1000+BF12</f>
        <v>2.6400000000000006</v>
      </c>
      <c r="BG13" s="5">
        <f t="shared" si="39"/>
        <v>30.717664079999999</v>
      </c>
      <c r="BH13" s="8">
        <f t="shared" si="33"/>
        <v>338.44916089491772</v>
      </c>
    </row>
    <row r="14" spans="1:60" x14ac:dyDescent="0.25">
      <c r="A14" s="15">
        <v>2024</v>
      </c>
      <c r="B14" s="27">
        <f t="shared" si="34"/>
        <v>7.5999999999999998E-2</v>
      </c>
      <c r="C14" s="7">
        <f t="shared" si="35"/>
        <v>14.229600000000001</v>
      </c>
      <c r="D14" s="23">
        <f t="shared" si="0"/>
        <v>0.77</v>
      </c>
      <c r="E14" s="4">
        <f t="shared" si="1"/>
        <v>1.4229600000000002</v>
      </c>
      <c r="F14" s="25">
        <f t="shared" si="36"/>
        <v>0.2</v>
      </c>
      <c r="G14" s="7">
        <f t="shared" si="2"/>
        <v>9.6293120000000023</v>
      </c>
      <c r="H14" s="7">
        <f t="shared" si="19"/>
        <v>11.822272000000002</v>
      </c>
      <c r="I14" s="8">
        <f t="shared" si="20"/>
        <v>106.57778208000002</v>
      </c>
      <c r="J14" s="8">
        <f t="shared" si="37"/>
        <v>123.49678208</v>
      </c>
      <c r="K14" s="7">
        <f>'Pathways Data Alignment'!$H$32*H14/$C$5</f>
        <v>14.628222034854772</v>
      </c>
      <c r="L14" s="7">
        <f>K14+'Pathways Data Alignment'!$H$33</f>
        <v>25.39311830041494</v>
      </c>
      <c r="N14" s="7">
        <f t="shared" si="3"/>
        <v>2.4073279999999997</v>
      </c>
      <c r="O14" s="7">
        <f t="shared" si="4"/>
        <v>27.042317866666664</v>
      </c>
      <c r="P14" s="7">
        <f t="shared" si="5"/>
        <v>5.9493099306666659</v>
      </c>
      <c r="R14" s="12">
        <f t="shared" si="38"/>
        <v>0.17800000000000002</v>
      </c>
      <c r="S14" s="7">
        <f t="shared" si="6"/>
        <v>29.051123999999998</v>
      </c>
      <c r="T14" s="24">
        <f t="shared" si="7"/>
        <v>532446.48864</v>
      </c>
      <c r="U14" s="31">
        <f t="shared" si="21"/>
        <v>12.139779940992</v>
      </c>
      <c r="V14" s="31">
        <f t="shared" si="22"/>
        <v>8.4978459586944002</v>
      </c>
      <c r="W14" s="36">
        <f t="shared" si="8"/>
        <v>34.70488803936</v>
      </c>
      <c r="X14" s="7">
        <f t="shared" si="9"/>
        <v>11.568296013119999</v>
      </c>
      <c r="Y14" s="7">
        <f t="shared" si="10"/>
        <v>2.5450251228864</v>
      </c>
      <c r="Z14" s="7">
        <f t="shared" si="11"/>
        <v>1.0180100491545598</v>
      </c>
      <c r="AA14" s="7"/>
      <c r="AB14" s="8">
        <f t="shared" si="12"/>
        <v>283.39999999999998</v>
      </c>
      <c r="AC14" s="8">
        <f t="shared" si="23"/>
        <v>41.4</v>
      </c>
      <c r="AD14" s="7">
        <f t="shared" si="13"/>
        <v>6.2792442234103838</v>
      </c>
      <c r="AE14" s="8">
        <f t="shared" si="24"/>
        <v>280.61061387978663</v>
      </c>
      <c r="AF14" s="8">
        <f t="shared" si="25"/>
        <v>17.0016</v>
      </c>
      <c r="AG14" s="7">
        <f t="shared" si="14"/>
        <v>2.5786762944138641</v>
      </c>
      <c r="AH14" s="8">
        <f t="shared" si="15"/>
        <v>263.60901387978663</v>
      </c>
      <c r="AI14" s="8">
        <f t="shared" si="16"/>
        <v>22.173377026352803</v>
      </c>
      <c r="AJ14" s="8">
        <f t="shared" si="26"/>
        <v>285.78239090613943</v>
      </c>
      <c r="AK14" s="30">
        <f>'Pathways Background Calcs'!I118</f>
        <v>0.13990454545454545</v>
      </c>
      <c r="AL14" s="69">
        <f t="shared" si="27"/>
        <v>18.109770309548509</v>
      </c>
      <c r="AM14" s="7">
        <f t="shared" si="17"/>
        <v>4.1015777355529961</v>
      </c>
      <c r="AN14" s="7">
        <f t="shared" si="18"/>
        <v>1.7545931380455346</v>
      </c>
      <c r="AO14" s="7">
        <f t="shared" si="28"/>
        <v>39.982255498636661</v>
      </c>
      <c r="AP14" s="10">
        <f t="shared" si="29"/>
        <v>0.12</v>
      </c>
      <c r="AQ14" s="7">
        <f t="shared" si="30"/>
        <v>39.934400000000004</v>
      </c>
      <c r="AS14" s="10">
        <f t="shared" si="31"/>
        <v>0.12</v>
      </c>
      <c r="AT14" s="7">
        <f t="shared" si="32"/>
        <v>10.2256</v>
      </c>
      <c r="AU14" s="26"/>
      <c r="AV14" s="8">
        <f>AO14+J14+'Pathways Data Alignment'!$H$22+AQ14+'Pathways Data Alignment'!$H$28+K14+'Pathways Data Alignment'!$H$33+S14+'Pathways Data Alignment'!$J$44+'Pathways Data Alignment'!$H$56+AT14</f>
        <v>351.68127987905166</v>
      </c>
      <c r="AX14" s="36">
        <f t="shared" si="40"/>
        <v>2.0979200000000002</v>
      </c>
      <c r="AY14" s="36">
        <f t="shared" si="41"/>
        <v>13.86</v>
      </c>
      <c r="AZ14" s="36">
        <f t="shared" si="42"/>
        <v>14.4</v>
      </c>
      <c r="BA14" s="36">
        <f t="shared" si="43"/>
        <v>3.04</v>
      </c>
      <c r="BB14" s="36">
        <f t="shared" si="44"/>
        <v>0.47360000000000002</v>
      </c>
      <c r="BC14" s="36">
        <f t="shared" si="45"/>
        <v>8.72E-2</v>
      </c>
      <c r="BD14" s="36">
        <f t="shared" si="46"/>
        <v>2.37968928</v>
      </c>
      <c r="BE14" s="36">
        <f t="shared" si="47"/>
        <v>1.0984761599999999</v>
      </c>
      <c r="BF14" s="36">
        <f t="shared" si="48"/>
        <v>3.5200000000000005</v>
      </c>
      <c r="BG14" s="5">
        <f t="shared" si="39"/>
        <v>40.956885440000001</v>
      </c>
      <c r="BH14" s="8">
        <f t="shared" si="33"/>
        <v>310.72439443905165</v>
      </c>
    </row>
    <row r="15" spans="1:60" x14ac:dyDescent="0.25">
      <c r="A15" s="15">
        <v>2025</v>
      </c>
      <c r="B15" s="27">
        <f t="shared" si="34"/>
        <v>9.5000000000000001E-2</v>
      </c>
      <c r="C15" s="7">
        <f t="shared" si="35"/>
        <v>13.937000000000001</v>
      </c>
      <c r="D15" s="23">
        <f t="shared" si="0"/>
        <v>0.77</v>
      </c>
      <c r="E15" s="4">
        <f t="shared" si="1"/>
        <v>1.3937000000000002</v>
      </c>
      <c r="F15" s="25">
        <f t="shared" si="36"/>
        <v>0.25</v>
      </c>
      <c r="G15" s="7">
        <f t="shared" si="2"/>
        <v>8.829975000000001</v>
      </c>
      <c r="H15" s="7">
        <f t="shared" si="19"/>
        <v>10.993675000000001</v>
      </c>
      <c r="I15" s="8">
        <f t="shared" si="20"/>
        <v>99.107980125000026</v>
      </c>
      <c r="J15" s="8">
        <f t="shared" si="37"/>
        <v>116.02698012500001</v>
      </c>
      <c r="K15" s="7">
        <f>'Pathways Data Alignment'!$H$32*H15/$C$5</f>
        <v>13.602962178423237</v>
      </c>
      <c r="L15" s="7">
        <f>K15+'Pathways Data Alignment'!$H$33</f>
        <v>24.367858443983405</v>
      </c>
      <c r="N15" s="7">
        <f t="shared" si="3"/>
        <v>2.9433249999999997</v>
      </c>
      <c r="O15" s="7">
        <f t="shared" si="4"/>
        <v>33.063350833333331</v>
      </c>
      <c r="P15" s="7">
        <f t="shared" si="5"/>
        <v>7.2739371833333326</v>
      </c>
      <c r="R15" s="12">
        <f t="shared" si="38"/>
        <v>0.22250000000000003</v>
      </c>
      <c r="S15" s="7">
        <f t="shared" si="6"/>
        <v>27.478404999999999</v>
      </c>
      <c r="T15" s="24">
        <f t="shared" si="7"/>
        <v>503621.8308</v>
      </c>
      <c r="U15" s="31">
        <f t="shared" si="21"/>
        <v>11.48257774224</v>
      </c>
      <c r="V15" s="31">
        <f t="shared" si="22"/>
        <v>8.0378044195680012</v>
      </c>
      <c r="W15" s="36">
        <f t="shared" si="8"/>
        <v>43.381110049199997</v>
      </c>
      <c r="X15" s="7">
        <f t="shared" si="9"/>
        <v>14.460370016399999</v>
      </c>
      <c r="Y15" s="7">
        <f t="shared" si="10"/>
        <v>3.1812814036079997</v>
      </c>
      <c r="Z15" s="7">
        <f t="shared" si="11"/>
        <v>1.2725125614431998</v>
      </c>
      <c r="AA15" s="7"/>
      <c r="AB15" s="8">
        <f t="shared" si="12"/>
        <v>283.39999999999998</v>
      </c>
      <c r="AC15" s="8">
        <f t="shared" si="23"/>
        <v>51.75</v>
      </c>
      <c r="AD15" s="7">
        <f t="shared" si="13"/>
        <v>7.3666975658633902</v>
      </c>
      <c r="AE15" s="8">
        <f t="shared" si="24"/>
        <v>279.17372084973334</v>
      </c>
      <c r="AF15" s="8">
        <f t="shared" si="25"/>
        <v>21.251999999999999</v>
      </c>
      <c r="AG15" s="7">
        <f t="shared" si="14"/>
        <v>3.0252571337145655</v>
      </c>
      <c r="AH15" s="8">
        <f t="shared" si="15"/>
        <v>257.92172084973333</v>
      </c>
      <c r="AI15" s="8">
        <f t="shared" si="16"/>
        <v>21.69499242652941</v>
      </c>
      <c r="AJ15" s="8">
        <f t="shared" si="26"/>
        <v>279.61671327626277</v>
      </c>
      <c r="AK15" s="30">
        <f>'Pathways Background Calcs'!I119</f>
        <v>0.13130681818181816</v>
      </c>
      <c r="AL15" s="69">
        <f t="shared" si="27"/>
        <v>20.123125164950398</v>
      </c>
      <c r="AM15" s="7">
        <f t="shared" si="17"/>
        <v>4.706622340158531</v>
      </c>
      <c r="AN15" s="7">
        <f t="shared" si="18"/>
        <v>2.0584574415709724</v>
      </c>
      <c r="AO15" s="7">
        <f t="shared" si="28"/>
        <v>36.715580930763814</v>
      </c>
      <c r="AP15" s="10">
        <f t="shared" si="29"/>
        <v>0.15</v>
      </c>
      <c r="AQ15" s="7">
        <f t="shared" si="30"/>
        <v>38.573</v>
      </c>
      <c r="AS15" s="10">
        <f t="shared" si="31"/>
        <v>0.15</v>
      </c>
      <c r="AT15" s="7">
        <f t="shared" si="32"/>
        <v>9.8769999999999989</v>
      </c>
      <c r="AU15" s="26"/>
      <c r="AV15" s="8">
        <f>AO15+J15+'Pathways Data Alignment'!$H$22+AQ15+'Pathways Data Alignment'!$H$28+K15+'Pathways Data Alignment'!$H$33+S15+'Pathways Data Alignment'!$J$44+'Pathways Data Alignment'!$H$56+AT15</f>
        <v>336.63682449974726</v>
      </c>
      <c r="AX15" s="36">
        <f t="shared" si="40"/>
        <v>2.6224000000000003</v>
      </c>
      <c r="AY15" s="36">
        <f t="shared" si="41"/>
        <v>17.324999999999999</v>
      </c>
      <c r="AZ15" s="36">
        <f t="shared" si="42"/>
        <v>18</v>
      </c>
      <c r="BA15" s="36">
        <f t="shared" si="43"/>
        <v>3.8</v>
      </c>
      <c r="BB15" s="36">
        <f t="shared" si="44"/>
        <v>0.59200000000000008</v>
      </c>
      <c r="BC15" s="36">
        <f t="shared" si="45"/>
        <v>0.109</v>
      </c>
      <c r="BD15" s="36">
        <f t="shared" si="46"/>
        <v>2.9746116000000002</v>
      </c>
      <c r="BE15" s="36">
        <f t="shared" si="47"/>
        <v>1.3730951999999998</v>
      </c>
      <c r="BF15" s="36">
        <f t="shared" si="48"/>
        <v>4.4000000000000004</v>
      </c>
      <c r="BG15" s="5">
        <f t="shared" si="39"/>
        <v>51.196106800000003</v>
      </c>
      <c r="BH15" s="8">
        <f t="shared" si="33"/>
        <v>285.44071769974727</v>
      </c>
    </row>
    <row r="16" spans="1:60" x14ac:dyDescent="0.25">
      <c r="A16" s="15">
        <v>2026</v>
      </c>
      <c r="B16" s="27">
        <f t="shared" si="34"/>
        <v>0.114</v>
      </c>
      <c r="C16" s="7">
        <f t="shared" si="35"/>
        <v>13.644400000000001</v>
      </c>
      <c r="D16" s="23">
        <f t="shared" si="0"/>
        <v>0.77</v>
      </c>
      <c r="E16" s="4">
        <f t="shared" si="1"/>
        <v>1.3644400000000001</v>
      </c>
      <c r="F16" s="25">
        <f t="shared" si="36"/>
        <v>0.3</v>
      </c>
      <c r="G16" s="7">
        <f t="shared" si="2"/>
        <v>8.056972</v>
      </c>
      <c r="H16" s="7">
        <f t="shared" si="19"/>
        <v>10.191412</v>
      </c>
      <c r="I16" s="8">
        <f t="shared" si="20"/>
        <v>91.875579180000003</v>
      </c>
      <c r="J16" s="8">
        <f t="shared" si="37"/>
        <v>108.79457917999999</v>
      </c>
      <c r="K16" s="7">
        <f>'Pathways Data Alignment'!$H$32*H16/$C$5</f>
        <v>12.610286549377593</v>
      </c>
      <c r="L16" s="7">
        <f>K16+'Pathways Data Alignment'!$H$33</f>
        <v>23.375182814937759</v>
      </c>
      <c r="N16" s="7">
        <f t="shared" si="3"/>
        <v>3.4529880000000013</v>
      </c>
      <c r="O16" s="7">
        <f t="shared" si="4"/>
        <v>38.788565200000015</v>
      </c>
      <c r="P16" s="7">
        <f t="shared" si="5"/>
        <v>8.5334843440000032</v>
      </c>
      <c r="R16" s="12">
        <f t="shared" si="38"/>
        <v>0.26700000000000002</v>
      </c>
      <c r="S16" s="7">
        <f t="shared" si="6"/>
        <v>25.905685999999999</v>
      </c>
      <c r="T16" s="24">
        <f t="shared" si="7"/>
        <v>474797.17296</v>
      </c>
      <c r="U16" s="31">
        <f t="shared" si="21"/>
        <v>10.825375543487999</v>
      </c>
      <c r="V16" s="31">
        <f t="shared" si="22"/>
        <v>7.5777628804415995</v>
      </c>
      <c r="W16" s="36">
        <f t="shared" si="8"/>
        <v>52.05733205904</v>
      </c>
      <c r="X16" s="7">
        <f t="shared" si="9"/>
        <v>17.35244401968</v>
      </c>
      <c r="Y16" s="7">
        <f t="shared" si="10"/>
        <v>3.8175376843295998</v>
      </c>
      <c r="Z16" s="7">
        <f t="shared" si="11"/>
        <v>1.52701507373184</v>
      </c>
      <c r="AA16" s="7"/>
      <c r="AB16" s="8">
        <f t="shared" si="12"/>
        <v>283.39999999999998</v>
      </c>
      <c r="AC16" s="8">
        <f t="shared" si="23"/>
        <v>62.1</v>
      </c>
      <c r="AD16" s="7">
        <f t="shared" si="13"/>
        <v>7.773479528830463</v>
      </c>
      <c r="AE16" s="8">
        <f t="shared" si="24"/>
        <v>277.44100921967998</v>
      </c>
      <c r="AF16" s="8">
        <f t="shared" si="25"/>
        <v>25.502399999999998</v>
      </c>
      <c r="AG16" s="7">
        <f t="shared" si="14"/>
        <v>3.1923089265063767</v>
      </c>
      <c r="AH16" s="8">
        <f t="shared" si="15"/>
        <v>251.93860921967999</v>
      </c>
      <c r="AI16" s="8">
        <f t="shared" si="16"/>
        <v>21.191725151972449</v>
      </c>
      <c r="AJ16" s="8">
        <f t="shared" si="26"/>
        <v>273.13033437165245</v>
      </c>
      <c r="AK16" s="30">
        <f>'Pathways Background Calcs'!I120</f>
        <v>0.11546454545454543</v>
      </c>
      <c r="AL16" s="69">
        <f t="shared" si="27"/>
        <v>23.983326360870837</v>
      </c>
      <c r="AM16" s="7">
        <f t="shared" si="17"/>
        <v>4.8554286237504964</v>
      </c>
      <c r="AN16" s="7">
        <f t="shared" si="18"/>
        <v>2.1721234840927388</v>
      </c>
      <c r="AO16" s="7">
        <f t="shared" si="28"/>
        <v>31.536869908070855</v>
      </c>
      <c r="AP16" s="10">
        <f t="shared" si="29"/>
        <v>0.18</v>
      </c>
      <c r="AQ16" s="7">
        <f t="shared" si="30"/>
        <v>37.211600000000004</v>
      </c>
      <c r="AS16" s="10">
        <f t="shared" si="31"/>
        <v>0.18</v>
      </c>
      <c r="AT16" s="7">
        <f t="shared" si="32"/>
        <v>9.5283999999999995</v>
      </c>
      <c r="AU16" s="26"/>
      <c r="AV16" s="8">
        <f>AO16+J16+'Pathways Data Alignment'!$H$22+AQ16+'Pathways Data Alignment'!$H$28+K16+'Pathways Data Alignment'!$H$33+S16+'Pathways Data Alignment'!$J$44+'Pathways Data Alignment'!$H$56+AT16</f>
        <v>319.95031790300857</v>
      </c>
      <c r="AX16" s="36">
        <f t="shared" si="40"/>
        <v>3.1468800000000003</v>
      </c>
      <c r="AY16" s="36">
        <f t="shared" si="41"/>
        <v>20.79</v>
      </c>
      <c r="AZ16" s="36">
        <f t="shared" si="42"/>
        <v>21.6</v>
      </c>
      <c r="BA16" s="36">
        <f t="shared" si="43"/>
        <v>4.5599999999999996</v>
      </c>
      <c r="BB16" s="36">
        <f t="shared" si="44"/>
        <v>0.71040000000000014</v>
      </c>
      <c r="BC16" s="36">
        <f t="shared" si="45"/>
        <v>0.1308</v>
      </c>
      <c r="BD16" s="36">
        <f t="shared" si="46"/>
        <v>3.5695339200000005</v>
      </c>
      <c r="BE16" s="36">
        <f t="shared" si="47"/>
        <v>1.6477142399999998</v>
      </c>
      <c r="BF16" s="36">
        <f t="shared" si="48"/>
        <v>5.28</v>
      </c>
      <c r="BG16" s="5">
        <f t="shared" si="39"/>
        <v>61.435328159999997</v>
      </c>
      <c r="BH16" s="8">
        <f t="shared" si="33"/>
        <v>258.51498974300858</v>
      </c>
    </row>
    <row r="17" spans="1:60" x14ac:dyDescent="0.25">
      <c r="A17" s="15">
        <v>2027</v>
      </c>
      <c r="B17" s="27">
        <f t="shared" si="34"/>
        <v>0.13300000000000001</v>
      </c>
      <c r="C17" s="7">
        <f t="shared" si="35"/>
        <v>13.351800000000001</v>
      </c>
      <c r="D17" s="23">
        <f t="shared" si="0"/>
        <v>0.77</v>
      </c>
      <c r="E17" s="4">
        <f t="shared" si="1"/>
        <v>1.3351800000000003</v>
      </c>
      <c r="F17" s="25">
        <f t="shared" si="36"/>
        <v>0.35</v>
      </c>
      <c r="G17" s="7">
        <f t="shared" si="2"/>
        <v>7.3103030000000002</v>
      </c>
      <c r="H17" s="7">
        <f t="shared" si="19"/>
        <v>9.415483</v>
      </c>
      <c r="I17" s="8">
        <f t="shared" si="20"/>
        <v>84.880579245000007</v>
      </c>
      <c r="J17" s="8">
        <f t="shared" si="37"/>
        <v>101.79957924499999</v>
      </c>
      <c r="K17" s="7">
        <f>'Pathways Data Alignment'!$H$32*H17/$C$5</f>
        <v>11.650195147717842</v>
      </c>
      <c r="L17" s="7">
        <f>K17+'Pathways Data Alignment'!$H$33</f>
        <v>22.415091413278009</v>
      </c>
      <c r="N17" s="7">
        <f t="shared" si="3"/>
        <v>3.9363170000000007</v>
      </c>
      <c r="O17" s="7">
        <f t="shared" si="4"/>
        <v>44.217960966666681</v>
      </c>
      <c r="P17" s="7">
        <f t="shared" si="5"/>
        <v>9.7279514126666697</v>
      </c>
      <c r="R17" s="12">
        <f t="shared" si="38"/>
        <v>0.3115</v>
      </c>
      <c r="S17" s="7">
        <f t="shared" si="6"/>
        <v>24.332967</v>
      </c>
      <c r="T17" s="24">
        <f t="shared" si="7"/>
        <v>445972.51512</v>
      </c>
      <c r="U17" s="31">
        <f t="shared" si="21"/>
        <v>10.168173344736001</v>
      </c>
      <c r="V17" s="31">
        <f t="shared" si="22"/>
        <v>7.1177213413152005</v>
      </c>
      <c r="W17" s="36">
        <f t="shared" si="8"/>
        <v>60.733554068879997</v>
      </c>
      <c r="X17" s="7">
        <f t="shared" si="9"/>
        <v>20.244518022959998</v>
      </c>
      <c r="Y17" s="7">
        <f t="shared" si="10"/>
        <v>4.4537939650512</v>
      </c>
      <c r="Z17" s="7">
        <f t="shared" si="11"/>
        <v>1.7815175860204797</v>
      </c>
      <c r="AA17" s="7"/>
      <c r="AB17" s="8">
        <f t="shared" si="12"/>
        <v>283.39999999999998</v>
      </c>
      <c r="AC17" s="8">
        <f t="shared" si="23"/>
        <v>72.45</v>
      </c>
      <c r="AD17" s="7">
        <f t="shared" si="13"/>
        <v>7.8247423083956704</v>
      </c>
      <c r="AE17" s="8">
        <f t="shared" si="24"/>
        <v>275.41247898962666</v>
      </c>
      <c r="AF17" s="8">
        <f t="shared" si="25"/>
        <v>29.752799999999997</v>
      </c>
      <c r="AG17" s="7">
        <f t="shared" si="14"/>
        <v>3.2133608413144881</v>
      </c>
      <c r="AH17" s="8">
        <f t="shared" si="15"/>
        <v>245.65967898962666</v>
      </c>
      <c r="AI17" s="8">
        <f t="shared" si="16"/>
        <v>20.663575202681915</v>
      </c>
      <c r="AJ17" s="8">
        <f t="shared" si="26"/>
        <v>266.32325419230858</v>
      </c>
      <c r="AK17" s="30">
        <f>'Pathways Background Calcs'!I121</f>
        <v>9.9622272727272726E-2</v>
      </c>
      <c r="AL17" s="69">
        <f t="shared" si="27"/>
        <v>27.604768465106687</v>
      </c>
      <c r="AM17" s="7">
        <f t="shared" si="17"/>
        <v>4.7756266386040727</v>
      </c>
      <c r="AN17" s="7">
        <f t="shared" si="18"/>
        <v>2.1864477113503624</v>
      </c>
      <c r="AO17" s="7">
        <f t="shared" si="28"/>
        <v>26.531727862760945</v>
      </c>
      <c r="AP17" s="10">
        <f t="shared" si="29"/>
        <v>0.21</v>
      </c>
      <c r="AQ17" s="7">
        <f t="shared" si="30"/>
        <v>35.850200000000001</v>
      </c>
      <c r="AS17" s="10">
        <f t="shared" si="31"/>
        <v>0.21</v>
      </c>
      <c r="AT17" s="7">
        <f t="shared" si="32"/>
        <v>9.1798000000000002</v>
      </c>
      <c r="AU17" s="26"/>
      <c r="AV17" s="8">
        <f>AO17+J17+'Pathways Data Alignment'!$H$22+AQ17+'Pathways Data Alignment'!$H$28+K17+'Pathways Data Alignment'!$H$33+S17+'Pathways Data Alignment'!$J$44+'Pathways Data Alignment'!$H$56+AT17</f>
        <v>303.70736552103898</v>
      </c>
      <c r="AX17" s="36">
        <f t="shared" si="40"/>
        <v>3.6713600000000004</v>
      </c>
      <c r="AY17" s="36">
        <f t="shared" si="41"/>
        <v>24.254999999999999</v>
      </c>
      <c r="AZ17" s="36">
        <f t="shared" si="42"/>
        <v>25.200000000000003</v>
      </c>
      <c r="BA17" s="36">
        <f t="shared" si="43"/>
        <v>5.3199999999999994</v>
      </c>
      <c r="BB17" s="36">
        <f t="shared" si="44"/>
        <v>0.8288000000000002</v>
      </c>
      <c r="BC17" s="36">
        <f t="shared" si="45"/>
        <v>0.15260000000000001</v>
      </c>
      <c r="BD17" s="36">
        <f t="shared" si="46"/>
        <v>4.1644562400000007</v>
      </c>
      <c r="BE17" s="36">
        <f t="shared" si="47"/>
        <v>1.9223332799999997</v>
      </c>
      <c r="BF17" s="36">
        <f t="shared" si="48"/>
        <v>6.16</v>
      </c>
      <c r="BG17" s="5">
        <f t="shared" si="39"/>
        <v>71.674549519999999</v>
      </c>
      <c r="BH17" s="8">
        <f t="shared" si="33"/>
        <v>232.03281600103898</v>
      </c>
    </row>
    <row r="18" spans="1:60" x14ac:dyDescent="0.25">
      <c r="A18" s="15">
        <v>2028</v>
      </c>
      <c r="B18" s="27">
        <f t="shared" si="34"/>
        <v>0.152</v>
      </c>
      <c r="C18" s="7">
        <f t="shared" si="35"/>
        <v>13.059200000000001</v>
      </c>
      <c r="D18" s="23">
        <f t="shared" si="0"/>
        <v>0.77</v>
      </c>
      <c r="E18" s="4">
        <f t="shared" si="1"/>
        <v>1.3059200000000002</v>
      </c>
      <c r="F18" s="25">
        <f t="shared" si="36"/>
        <v>0.39999999999999997</v>
      </c>
      <c r="G18" s="7">
        <f t="shared" si="2"/>
        <v>6.5899680000000016</v>
      </c>
      <c r="H18" s="7">
        <f t="shared" si="19"/>
        <v>8.6658880000000025</v>
      </c>
      <c r="I18" s="8">
        <f t="shared" si="20"/>
        <v>78.122980320000025</v>
      </c>
      <c r="J18" s="8">
        <f t="shared" si="37"/>
        <v>95.041980320000008</v>
      </c>
      <c r="K18" s="7">
        <f>'Pathways Data Alignment'!$H$32*H18/$C$5</f>
        <v>10.722687973443985</v>
      </c>
      <c r="L18" s="7">
        <f>K18+'Pathways Data Alignment'!$H$33</f>
        <v>21.487584239004153</v>
      </c>
      <c r="N18" s="7">
        <f t="shared" si="3"/>
        <v>4.3933119999999981</v>
      </c>
      <c r="O18" s="7">
        <f t="shared" si="4"/>
        <v>49.351538133333321</v>
      </c>
      <c r="P18" s="7">
        <f t="shared" si="5"/>
        <v>10.85733838933333</v>
      </c>
      <c r="R18" s="12">
        <f t="shared" si="38"/>
        <v>0.35599999999999998</v>
      </c>
      <c r="S18" s="7">
        <f t="shared" si="6"/>
        <v>22.760248000000001</v>
      </c>
      <c r="T18" s="24">
        <f t="shared" si="7"/>
        <v>417147.85728</v>
      </c>
      <c r="U18" s="31">
        <f t="shared" si="21"/>
        <v>9.5109711459839996</v>
      </c>
      <c r="V18" s="31">
        <f t="shared" si="22"/>
        <v>6.6576798021887997</v>
      </c>
      <c r="W18" s="36">
        <f t="shared" si="8"/>
        <v>69.40977607872</v>
      </c>
      <c r="X18" s="7">
        <f t="shared" si="9"/>
        <v>23.136592026239999</v>
      </c>
      <c r="Y18" s="7">
        <f t="shared" si="10"/>
        <v>5.0900502457728001</v>
      </c>
      <c r="Z18" s="7">
        <f t="shared" si="11"/>
        <v>2.0360200983091197</v>
      </c>
      <c r="AA18" s="7"/>
      <c r="AB18" s="8">
        <f t="shared" si="12"/>
        <v>283.39999999999998</v>
      </c>
      <c r="AC18" s="8">
        <f t="shared" si="23"/>
        <v>82.8</v>
      </c>
      <c r="AD18" s="7">
        <f t="shared" si="13"/>
        <v>7.5204859045590053</v>
      </c>
      <c r="AE18" s="8">
        <f t="shared" si="24"/>
        <v>273.08813015957327</v>
      </c>
      <c r="AF18" s="8">
        <f t="shared" si="25"/>
        <v>34.0032</v>
      </c>
      <c r="AG18" s="7">
        <f t="shared" si="14"/>
        <v>3.088412878138898</v>
      </c>
      <c r="AH18" s="8">
        <f t="shared" si="15"/>
        <v>239.08493015957328</v>
      </c>
      <c r="AI18" s="8">
        <f t="shared" si="16"/>
        <v>20.110542578657807</v>
      </c>
      <c r="AJ18" s="8">
        <f t="shared" si="26"/>
        <v>259.1954727382311</v>
      </c>
      <c r="AK18" s="30">
        <f>'Pathways Background Calcs'!I122</f>
        <v>8.3779999999999979E-2</v>
      </c>
      <c r="AL18" s="69">
        <f t="shared" si="27"/>
        <v>30.97220956648302</v>
      </c>
      <c r="AM18" s="7">
        <f t="shared" si="17"/>
        <v>4.4824582958941965</v>
      </c>
      <c r="AN18" s="7">
        <f t="shared" si="18"/>
        <v>2.1014301233438428</v>
      </c>
      <c r="AO18" s="7">
        <f t="shared" si="28"/>
        <v>21.715396706008995</v>
      </c>
      <c r="AP18" s="10">
        <f t="shared" si="29"/>
        <v>0.24</v>
      </c>
      <c r="AQ18" s="7">
        <f t="shared" si="30"/>
        <v>34.488800000000005</v>
      </c>
      <c r="AS18" s="10">
        <f t="shared" si="31"/>
        <v>0.24</v>
      </c>
      <c r="AT18" s="7">
        <f t="shared" si="32"/>
        <v>8.8311999999999991</v>
      </c>
      <c r="AU18" s="26"/>
      <c r="AV18" s="8">
        <f>AO18+J18+'Pathways Data Alignment'!$H$22+AQ18+'Pathways Data Alignment'!$H$28+K18+'Pathways Data Alignment'!$H$33+S18+'Pathways Data Alignment'!$J$44+'Pathways Data Alignment'!$H$56+AT18</f>
        <v>287.92320926501321</v>
      </c>
      <c r="AX18" s="36">
        <f t="shared" si="40"/>
        <v>4.1958400000000005</v>
      </c>
      <c r="AY18" s="36">
        <f t="shared" si="41"/>
        <v>27.72</v>
      </c>
      <c r="AZ18" s="36">
        <f t="shared" si="42"/>
        <v>28.800000000000004</v>
      </c>
      <c r="BA18" s="36">
        <f t="shared" si="43"/>
        <v>6.0799999999999992</v>
      </c>
      <c r="BB18" s="36">
        <f t="shared" si="44"/>
        <v>0.94720000000000026</v>
      </c>
      <c r="BC18" s="36">
        <f t="shared" si="45"/>
        <v>0.1744</v>
      </c>
      <c r="BD18" s="36">
        <f t="shared" si="46"/>
        <v>4.7593785600000009</v>
      </c>
      <c r="BE18" s="36">
        <f t="shared" si="47"/>
        <v>2.1969523199999998</v>
      </c>
      <c r="BF18" s="36">
        <f t="shared" si="48"/>
        <v>7.04</v>
      </c>
      <c r="BG18" s="5">
        <f t="shared" si="39"/>
        <v>81.913770880000001</v>
      </c>
      <c r="BH18" s="8">
        <f t="shared" si="33"/>
        <v>206.0094383850132</v>
      </c>
    </row>
    <row r="19" spans="1:60" x14ac:dyDescent="0.25">
      <c r="A19" s="15">
        <v>2029</v>
      </c>
      <c r="B19" s="27">
        <f t="shared" si="34"/>
        <v>0.17099999999999999</v>
      </c>
      <c r="C19" s="7">
        <f t="shared" si="35"/>
        <v>12.7666</v>
      </c>
      <c r="D19" s="23">
        <f t="shared" si="0"/>
        <v>0.77</v>
      </c>
      <c r="E19" s="4">
        <f t="shared" si="1"/>
        <v>1.2766600000000001</v>
      </c>
      <c r="F19" s="25">
        <f t="shared" si="36"/>
        <v>0.44999999999999996</v>
      </c>
      <c r="G19" s="7">
        <f t="shared" si="2"/>
        <v>5.8959670000000015</v>
      </c>
      <c r="H19" s="7">
        <f t="shared" si="19"/>
        <v>7.9426270000000017</v>
      </c>
      <c r="I19" s="8">
        <f t="shared" si="20"/>
        <v>71.602782405000013</v>
      </c>
      <c r="J19" s="8">
        <f t="shared" si="37"/>
        <v>88.521782404999996</v>
      </c>
      <c r="K19" s="7">
        <f>'Pathways Data Alignment'!$H$32*H19/$C$5</f>
        <v>9.8277650265560172</v>
      </c>
      <c r="L19" s="7">
        <f>K19+'Pathways Data Alignment'!$H$33</f>
        <v>20.592661292116183</v>
      </c>
      <c r="N19" s="7">
        <f t="shared" si="3"/>
        <v>4.8239729999999987</v>
      </c>
      <c r="O19" s="7">
        <f t="shared" si="4"/>
        <v>54.189296699999993</v>
      </c>
      <c r="P19" s="7">
        <f t="shared" si="5"/>
        <v>11.921645273999998</v>
      </c>
      <c r="R19" s="12">
        <f t="shared" si="38"/>
        <v>0.40049999999999997</v>
      </c>
      <c r="S19" s="7">
        <f t="shared" si="6"/>
        <v>21.187529000000001</v>
      </c>
      <c r="T19" s="24">
        <f t="shared" si="7"/>
        <v>388323.19944</v>
      </c>
      <c r="U19" s="31">
        <f t="shared" si="21"/>
        <v>8.853768947232</v>
      </c>
      <c r="V19" s="31">
        <f t="shared" si="22"/>
        <v>6.1976382630623998</v>
      </c>
      <c r="W19" s="36">
        <f t="shared" si="8"/>
        <v>78.085998088560004</v>
      </c>
      <c r="X19" s="7">
        <f t="shared" si="9"/>
        <v>26.02866602952</v>
      </c>
      <c r="Y19" s="7">
        <f t="shared" si="10"/>
        <v>5.7263065264944002</v>
      </c>
      <c r="Z19" s="7">
        <f t="shared" si="11"/>
        <v>2.2905226105977601</v>
      </c>
      <c r="AA19" s="7"/>
      <c r="AB19" s="8">
        <f t="shared" si="12"/>
        <v>283.39999999999998</v>
      </c>
      <c r="AC19" s="8">
        <f t="shared" si="23"/>
        <v>93.149999999999991</v>
      </c>
      <c r="AD19" s="7">
        <f t="shared" si="13"/>
        <v>6.8607103173204713</v>
      </c>
      <c r="AE19" s="8">
        <f t="shared" si="24"/>
        <v>270.46796272952002</v>
      </c>
      <c r="AF19" s="8">
        <f t="shared" si="25"/>
        <v>38.253599999999999</v>
      </c>
      <c r="AG19" s="7">
        <f t="shared" si="14"/>
        <v>2.8174650369796073</v>
      </c>
      <c r="AH19" s="8">
        <f t="shared" si="15"/>
        <v>232.21436272952002</v>
      </c>
      <c r="AI19" s="8">
        <f t="shared" si="16"/>
        <v>19.532627279900144</v>
      </c>
      <c r="AJ19" s="8">
        <f t="shared" si="26"/>
        <v>251.74699000942016</v>
      </c>
      <c r="AK19" s="30">
        <f>'Pathways Background Calcs'!I123</f>
        <v>6.7937727272727247E-2</v>
      </c>
      <c r="AL19" s="69">
        <f t="shared" si="27"/>
        <v>34.070407753824902</v>
      </c>
      <c r="AM19" s="7">
        <f t="shared" si="17"/>
        <v>3.9911655067958152</v>
      </c>
      <c r="AN19" s="7">
        <f t="shared" si="18"/>
        <v>1.9170707200731805</v>
      </c>
      <c r="AO19" s="7">
        <f t="shared" si="28"/>
        <v>17.103118348989977</v>
      </c>
      <c r="AP19" s="10">
        <f t="shared" si="29"/>
        <v>0.27</v>
      </c>
      <c r="AQ19" s="7">
        <f t="shared" si="30"/>
        <v>33.127400000000002</v>
      </c>
      <c r="AS19" s="10">
        <f t="shared" si="31"/>
        <v>0.27</v>
      </c>
      <c r="AT19" s="7">
        <f t="shared" si="32"/>
        <v>8.4825999999999997</v>
      </c>
      <c r="AU19" s="26"/>
      <c r="AV19" s="8">
        <f>AO19+J19+'Pathways Data Alignment'!$H$22+AQ19+'Pathways Data Alignment'!$H$28+K19+'Pathways Data Alignment'!$H$33+S19+'Pathways Data Alignment'!$J$44+'Pathways Data Alignment'!$H$56+AT19</f>
        <v>272.61309104610621</v>
      </c>
      <c r="AX19" s="36">
        <f t="shared" si="40"/>
        <v>4.720320000000001</v>
      </c>
      <c r="AY19" s="36">
        <f t="shared" si="41"/>
        <v>31.184999999999999</v>
      </c>
      <c r="AZ19" s="36">
        <f t="shared" si="42"/>
        <v>32.400000000000006</v>
      </c>
      <c r="BA19" s="36">
        <f t="shared" si="43"/>
        <v>6.839999999999999</v>
      </c>
      <c r="BB19" s="36">
        <f t="shared" si="44"/>
        <v>1.0656000000000003</v>
      </c>
      <c r="BC19" s="36">
        <f t="shared" si="45"/>
        <v>0.19619999999999999</v>
      </c>
      <c r="BD19" s="36">
        <f t="shared" si="46"/>
        <v>5.3543008800000012</v>
      </c>
      <c r="BE19" s="36">
        <f t="shared" si="47"/>
        <v>2.47157136</v>
      </c>
      <c r="BF19" s="36">
        <f t="shared" si="48"/>
        <v>7.92</v>
      </c>
      <c r="BG19" s="5">
        <f t="shared" si="39"/>
        <v>92.152992240000017</v>
      </c>
      <c r="BH19" s="8">
        <f t="shared" si="33"/>
        <v>180.4600988061062</v>
      </c>
    </row>
    <row r="20" spans="1:60" x14ac:dyDescent="0.25">
      <c r="A20" s="15">
        <v>2030</v>
      </c>
      <c r="B20" s="27">
        <f t="shared" si="34"/>
        <v>0.18999999999999997</v>
      </c>
      <c r="C20" s="7">
        <f t="shared" si="35"/>
        <v>12.474000000000002</v>
      </c>
      <c r="D20" s="23">
        <f t="shared" si="0"/>
        <v>0.77</v>
      </c>
      <c r="E20" s="4">
        <f t="shared" si="1"/>
        <v>1.2474000000000003</v>
      </c>
      <c r="F20" s="25">
        <f t="shared" si="36"/>
        <v>0.49999999999999994</v>
      </c>
      <c r="G20" s="7">
        <f t="shared" si="2"/>
        <v>5.2283000000000008</v>
      </c>
      <c r="H20" s="7">
        <f t="shared" si="19"/>
        <v>7.2457000000000011</v>
      </c>
      <c r="I20" s="8">
        <f t="shared" si="20"/>
        <v>65.319985500000016</v>
      </c>
      <c r="J20" s="8">
        <f t="shared" si="37"/>
        <v>82.238985499999998</v>
      </c>
      <c r="K20" s="7">
        <f>'Pathways Data Alignment'!$H$32*H20/$C$5</f>
        <v>8.9654263070539422</v>
      </c>
      <c r="L20" s="7">
        <f>K20+'Pathways Data Alignment'!$H$33</f>
        <v>19.73032257261411</v>
      </c>
      <c r="N20" s="7">
        <f t="shared" si="3"/>
        <v>5.2283000000000008</v>
      </c>
      <c r="O20" s="7">
        <f t="shared" si="4"/>
        <v>58.731236666666682</v>
      </c>
      <c r="P20" s="7">
        <f t="shared" si="5"/>
        <v>12.92087206666667</v>
      </c>
      <c r="R20" s="12">
        <f t="shared" si="38"/>
        <v>0.44499999999999995</v>
      </c>
      <c r="S20" s="7">
        <f t="shared" si="6"/>
        <v>19.614810000000002</v>
      </c>
      <c r="T20" s="24">
        <f t="shared" si="7"/>
        <v>359498.54160000006</v>
      </c>
      <c r="U20" s="31">
        <f t="shared" si="21"/>
        <v>8.1965667484800022</v>
      </c>
      <c r="V20" s="31">
        <f t="shared" si="22"/>
        <v>5.7375967239360017</v>
      </c>
      <c r="W20" s="36">
        <f t="shared" si="8"/>
        <v>86.762220098399979</v>
      </c>
      <c r="X20" s="7">
        <f t="shared" si="9"/>
        <v>28.920740032799994</v>
      </c>
      <c r="Y20" s="7">
        <f t="shared" si="10"/>
        <v>6.3625628072159985</v>
      </c>
      <c r="Z20" s="7">
        <f t="shared" si="11"/>
        <v>2.5450251228863991</v>
      </c>
      <c r="AA20" s="7"/>
      <c r="AB20" s="8">
        <f t="shared" si="12"/>
        <v>283.39999999999998</v>
      </c>
      <c r="AC20" s="8">
        <f t="shared" si="23"/>
        <v>103.49999999999999</v>
      </c>
      <c r="AD20" s="7">
        <f t="shared" si="13"/>
        <v>5.7458583427090497</v>
      </c>
      <c r="AE20" s="8">
        <f t="shared" si="24"/>
        <v>267.55197669946665</v>
      </c>
      <c r="AF20" s="8">
        <f t="shared" si="25"/>
        <v>42.503999999999998</v>
      </c>
      <c r="AG20" s="7">
        <f t="shared" si="14"/>
        <v>2.3596324927391832</v>
      </c>
      <c r="AH20" s="8">
        <f t="shared" si="15"/>
        <v>225.04797669946666</v>
      </c>
      <c r="AI20" s="8">
        <f t="shared" si="16"/>
        <v>18.929829306408898</v>
      </c>
      <c r="AJ20" s="8">
        <f t="shared" si="26"/>
        <v>243.97780600587555</v>
      </c>
      <c r="AK20" s="30">
        <f>'Pathways Background Calcs'!I124</f>
        <v>5.1208181818181847E-2</v>
      </c>
      <c r="AL20" s="69">
        <f t="shared" si="27"/>
        <v>37.100595969286189</v>
      </c>
      <c r="AM20" s="7">
        <f t="shared" si="17"/>
        <v>3.2604962915824776</v>
      </c>
      <c r="AN20" s="7">
        <f t="shared" si="18"/>
        <v>1.6055504869061203</v>
      </c>
      <c r="AO20" s="7">
        <f>AJ20*AK20</f>
        <v>12.493659849549974</v>
      </c>
      <c r="AP20" s="10">
        <f t="shared" si="29"/>
        <v>0.30000000000000004</v>
      </c>
      <c r="AQ20" s="7">
        <f t="shared" si="30"/>
        <v>31.765999999999998</v>
      </c>
      <c r="AS20" s="10">
        <f t="shared" si="31"/>
        <v>0.30000000000000004</v>
      </c>
      <c r="AT20" s="7">
        <f t="shared" si="32"/>
        <v>8.1339999999999986</v>
      </c>
      <c r="AU20" s="26"/>
      <c r="AV20" s="8">
        <f>AO20+J20+'Pathways Data Alignment'!$H$22+AQ20+'Pathways Data Alignment'!$H$28+K20+'Pathways Data Alignment'!$H$33+S20+'Pathways Data Alignment'!$J$44+'Pathways Data Alignment'!$H$56+AT20</f>
        <v>257.57577792216404</v>
      </c>
      <c r="AX20" s="36">
        <f t="shared" si="40"/>
        <v>5.2448000000000015</v>
      </c>
      <c r="AY20" s="36">
        <f t="shared" si="41"/>
        <v>34.65</v>
      </c>
      <c r="AZ20" s="36">
        <f t="shared" si="42"/>
        <v>36.000000000000007</v>
      </c>
      <c r="BA20" s="36">
        <f t="shared" si="43"/>
        <v>7.5999999999999988</v>
      </c>
      <c r="BB20" s="36">
        <f t="shared" si="44"/>
        <v>1.1840000000000004</v>
      </c>
      <c r="BC20" s="36">
        <f t="shared" si="45"/>
        <v>0.21799999999999997</v>
      </c>
      <c r="BD20" s="36">
        <f t="shared" si="46"/>
        <v>5.9492232000000014</v>
      </c>
      <c r="BE20" s="36">
        <f t="shared" si="47"/>
        <v>2.7461904000000001</v>
      </c>
      <c r="BF20" s="36">
        <f t="shared" si="48"/>
        <v>8.8000000000000007</v>
      </c>
      <c r="BG20" s="5">
        <f t="shared" si="39"/>
        <v>102.39221360000001</v>
      </c>
      <c r="BH20" s="8">
        <f t="shared" si="33"/>
        <v>155.18356432216405</v>
      </c>
    </row>
    <row r="25" spans="1:60" x14ac:dyDescent="0.25">
      <c r="A25" s="20" t="s">
        <v>100</v>
      </c>
    </row>
    <row r="26" spans="1:60" s="26" customFormat="1" x14ac:dyDescent="0.25">
      <c r="A26" s="26" t="s">
        <v>222</v>
      </c>
      <c r="AA26" s="62"/>
      <c r="AB26" s="62"/>
      <c r="AC26" s="62"/>
      <c r="AD26" s="64"/>
      <c r="AF26" s="62"/>
      <c r="AG26" s="64"/>
      <c r="AH26" s="63"/>
      <c r="AI26" s="63"/>
      <c r="AJ26" s="63"/>
      <c r="AM26" s="41"/>
      <c r="AN26" s="41"/>
      <c r="AV26" s="56"/>
      <c r="AW26" s="56"/>
    </row>
    <row r="27" spans="1:60" x14ac:dyDescent="0.25">
      <c r="A27" s="26" t="s">
        <v>324</v>
      </c>
    </row>
    <row r="28" spans="1:60" x14ac:dyDescent="0.25">
      <c r="A28" t="s">
        <v>286</v>
      </c>
    </row>
    <row r="29" spans="1:60" x14ac:dyDescent="0.25">
      <c r="A29" t="s">
        <v>223</v>
      </c>
    </row>
    <row r="30" spans="1:60" x14ac:dyDescent="0.25">
      <c r="A30" t="s">
        <v>332</v>
      </c>
    </row>
    <row r="31" spans="1:60" x14ac:dyDescent="0.25">
      <c r="A31" t="s">
        <v>477</v>
      </c>
    </row>
    <row r="32" spans="1:60" x14ac:dyDescent="0.25">
      <c r="A32" t="s">
        <v>226</v>
      </c>
    </row>
    <row r="33" spans="1:11" x14ac:dyDescent="0.25">
      <c r="A33" t="s">
        <v>228</v>
      </c>
    </row>
    <row r="34" spans="1:11" x14ac:dyDescent="0.25">
      <c r="A34" t="s">
        <v>235</v>
      </c>
    </row>
    <row r="35" spans="1:11" x14ac:dyDescent="0.25">
      <c r="A35" t="s">
        <v>328</v>
      </c>
    </row>
    <row r="36" spans="1:11" x14ac:dyDescent="0.25">
      <c r="A36" t="s">
        <v>410</v>
      </c>
    </row>
    <row r="37" spans="1:11" x14ac:dyDescent="0.25">
      <c r="A37" t="s">
        <v>331</v>
      </c>
    </row>
    <row r="38" spans="1:11" x14ac:dyDescent="0.25">
      <c r="A38" t="s">
        <v>326</v>
      </c>
    </row>
    <row r="39" spans="1:11" x14ac:dyDescent="0.25">
      <c r="A39" s="26" t="s">
        <v>329</v>
      </c>
    </row>
    <row r="40" spans="1:11" x14ac:dyDescent="0.25">
      <c r="A40" t="s">
        <v>248</v>
      </c>
    </row>
    <row r="41" spans="1:11" x14ac:dyDescent="0.25">
      <c r="A41" s="26" t="s">
        <v>330</v>
      </c>
    </row>
    <row r="42" spans="1:11" x14ac:dyDescent="0.25">
      <c r="A42" t="s">
        <v>327</v>
      </c>
    </row>
    <row r="43" spans="1:11" x14ac:dyDescent="0.25">
      <c r="A43" t="s">
        <v>255</v>
      </c>
    </row>
    <row r="44" spans="1:11" x14ac:dyDescent="0.25">
      <c r="A44" s="47" t="s">
        <v>412</v>
      </c>
      <c r="B44" s="47"/>
      <c r="C44" s="47"/>
      <c r="D44" s="47"/>
      <c r="E44" s="47"/>
      <c r="F44" s="47"/>
      <c r="G44" s="47"/>
      <c r="H44" s="47"/>
      <c r="I44" s="47"/>
      <c r="J44" s="47"/>
      <c r="K44" s="47"/>
    </row>
    <row r="45" spans="1:11" x14ac:dyDescent="0.25">
      <c r="A45" t="s">
        <v>415</v>
      </c>
    </row>
    <row r="46" spans="1:11" x14ac:dyDescent="0.25">
      <c r="A46" t="s">
        <v>447</v>
      </c>
    </row>
    <row r="47" spans="1:11" x14ac:dyDescent="0.25">
      <c r="A47" t="s">
        <v>277</v>
      </c>
    </row>
    <row r="48" spans="1:11" x14ac:dyDescent="0.25">
      <c r="A48" t="s">
        <v>340</v>
      </c>
    </row>
    <row r="49" spans="1:1" x14ac:dyDescent="0.25">
      <c r="A49" t="s">
        <v>334</v>
      </c>
    </row>
    <row r="50" spans="1:1" x14ac:dyDescent="0.25">
      <c r="A50" t="s">
        <v>381</v>
      </c>
    </row>
    <row r="51" spans="1:1" x14ac:dyDescent="0.25">
      <c r="A51" t="s">
        <v>363</v>
      </c>
    </row>
    <row r="52" spans="1:1" x14ac:dyDescent="0.25">
      <c r="A52" s="62" t="s">
        <v>365</v>
      </c>
    </row>
    <row r="53" spans="1:1" x14ac:dyDescent="0.25">
      <c r="A53" t="s">
        <v>373</v>
      </c>
    </row>
    <row r="54" spans="1:1" x14ac:dyDescent="0.25">
      <c r="A54" t="s">
        <v>374</v>
      </c>
    </row>
    <row r="55" spans="1:1" x14ac:dyDescent="0.25">
      <c r="A55" s="63" t="s">
        <v>398</v>
      </c>
    </row>
    <row r="56" spans="1:1" x14ac:dyDescent="0.25">
      <c r="A56" s="63" t="s">
        <v>400</v>
      </c>
    </row>
    <row r="57" spans="1:1" x14ac:dyDescent="0.25">
      <c r="A57" t="s">
        <v>425</v>
      </c>
    </row>
    <row r="58" spans="1:1" x14ac:dyDescent="0.25">
      <c r="A58" s="63" t="s">
        <v>426</v>
      </c>
    </row>
    <row r="59" spans="1:1" x14ac:dyDescent="0.25">
      <c r="A59" s="63" t="s">
        <v>407</v>
      </c>
    </row>
    <row r="60" spans="1:1" x14ac:dyDescent="0.25">
      <c r="A60" t="s">
        <v>433</v>
      </c>
    </row>
    <row r="61" spans="1:1" x14ac:dyDescent="0.25">
      <c r="A61" t="s">
        <v>443</v>
      </c>
    </row>
    <row r="62" spans="1:1" x14ac:dyDescent="0.25">
      <c r="A62" t="s">
        <v>445</v>
      </c>
    </row>
    <row r="63" spans="1:1" x14ac:dyDescent="0.25">
      <c r="A63" t="s">
        <v>449</v>
      </c>
    </row>
    <row r="64" spans="1:1" x14ac:dyDescent="0.25">
      <c r="A64" t="s">
        <v>452</v>
      </c>
    </row>
  </sheetData>
  <mergeCells count="17">
    <mergeCell ref="AS1:AU1"/>
    <mergeCell ref="AX1:BG1"/>
    <mergeCell ref="AP1:AR1"/>
    <mergeCell ref="A1:P1"/>
    <mergeCell ref="A2:C2"/>
    <mergeCell ref="D2:J2"/>
    <mergeCell ref="K2:L2"/>
    <mergeCell ref="M2:P2"/>
    <mergeCell ref="R1:Z1"/>
    <mergeCell ref="R2:S2"/>
    <mergeCell ref="T2:V2"/>
    <mergeCell ref="W2:Z2"/>
    <mergeCell ref="AB8:AE8"/>
    <mergeCell ref="AF8:AG8"/>
    <mergeCell ref="AH8:AJ8"/>
    <mergeCell ref="AK8:AO8"/>
    <mergeCell ref="AB1:AO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F2"/>
  <sheetViews>
    <sheetView workbookViewId="0">
      <selection activeCell="BJ12" sqref="BJ12"/>
    </sheetView>
  </sheetViews>
  <sheetFormatPr defaultRowHeight="15" x14ac:dyDescent="0.25"/>
  <sheetData>
    <row r="1" spans="1:58" x14ac:dyDescent="0.25">
      <c r="A1" s="16" t="s">
        <v>526</v>
      </c>
      <c r="G1" s="16" t="s">
        <v>527</v>
      </c>
      <c r="L1" s="16" t="s">
        <v>528</v>
      </c>
      <c r="Q1" s="16" t="s">
        <v>529</v>
      </c>
      <c r="U1" s="16" t="s">
        <v>530</v>
      </c>
      <c r="Y1" s="16" t="s">
        <v>531</v>
      </c>
      <c r="AC1" s="16" t="s">
        <v>532</v>
      </c>
      <c r="AG1" s="16" t="s">
        <v>533</v>
      </c>
      <c r="AK1" s="16" t="s">
        <v>534</v>
      </c>
      <c r="AO1" s="16" t="s">
        <v>535</v>
      </c>
      <c r="AT1" s="16" t="s">
        <v>536</v>
      </c>
      <c r="AX1" s="16" t="s">
        <v>537</v>
      </c>
      <c r="BB1" s="16" t="s">
        <v>538</v>
      </c>
      <c r="BF1" s="16" t="s">
        <v>539</v>
      </c>
    </row>
    <row r="2" spans="1:58" x14ac:dyDescent="0.25">
      <c r="L2" s="1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Charts</vt:lpstr>
      </vt:variant>
      <vt:variant>
        <vt:i4>7</vt:i4>
      </vt:variant>
    </vt:vector>
  </HeadingPairs>
  <TitlesOfParts>
    <vt:vector size="23" baseType="lpstr">
      <vt:lpstr>Title</vt:lpstr>
      <vt:lpstr>How to Use</vt:lpstr>
      <vt:lpstr>GHG Primer</vt:lpstr>
      <vt:lpstr>Overview</vt:lpstr>
      <vt:lpstr>Glossary</vt:lpstr>
      <vt:lpstr>Pathways Background Calcs</vt:lpstr>
      <vt:lpstr>Pathways Data Alignment</vt:lpstr>
      <vt:lpstr>Pathways Model</vt:lpstr>
      <vt:lpstr>Model Column Guide</vt:lpstr>
      <vt:lpstr>EV Conversion Data</vt:lpstr>
      <vt:lpstr>Bldgs Gas-&gt;Elec Data</vt:lpstr>
      <vt:lpstr>Electricity Sector Data</vt:lpstr>
      <vt:lpstr>Ind EE Ag Manure Data</vt:lpstr>
      <vt:lpstr>Pathway Emissions Summary Table</vt:lpstr>
      <vt:lpstr>Sequestration Table</vt:lpstr>
      <vt:lpstr>Pathways Sectors Net Bar Data</vt:lpstr>
      <vt:lpstr>EV VMT Chart</vt:lpstr>
      <vt:lpstr>Bldgs Gas-&gt;Elec Chart</vt:lpstr>
      <vt:lpstr>Electricity Sector Chart</vt:lpstr>
      <vt:lpstr>Ind EE Ag Manure Chart</vt:lpstr>
      <vt:lpstr>Pathway Emissions Summary Chart</vt:lpstr>
      <vt:lpstr>Sequestration Chart</vt:lpstr>
      <vt:lpstr>Sectors Net Emissions Chart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c:creator>
  <cp:lastModifiedBy>Ed</cp:lastModifiedBy>
  <cp:lastPrinted>2020-11-17T22:23:54Z</cp:lastPrinted>
  <dcterms:created xsi:type="dcterms:W3CDTF">2020-03-16T22:02:02Z</dcterms:created>
  <dcterms:modified xsi:type="dcterms:W3CDTF">2021-04-23T20:58:55Z</dcterms:modified>
</cp:coreProperties>
</file>