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5520" tabRatio="500" activeTab="1"/>
  </bookViews>
  <sheets>
    <sheet name="CCE populations" sheetId="1" r:id="rId1"/>
    <sheet name="GHG &amp; $ calcs" sheetId="3" r:id="rId2"/>
    <sheet name="GHG &amp; $ data" sheetId="4" r:id="rId3"/>
  </sheets>
  <definedNames>
    <definedName name="_xlnm.Print_Area" localSheetId="0">'CCE populations'!$A$1:$N$25</definedName>
    <definedName name="_xlnm.Print_Area" localSheetId="1">'GHG &amp; $ calcs'!$A$1:$K$40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4" l="1"/>
  <c r="G24" i="4"/>
  <c r="F24" i="4"/>
  <c r="E24" i="4"/>
  <c r="D24" i="4"/>
  <c r="R4" i="4"/>
  <c r="Q4" i="4"/>
  <c r="P4" i="4"/>
  <c r="O4" i="4"/>
  <c r="N4" i="4"/>
  <c r="X15" i="3"/>
  <c r="L54" i="3"/>
  <c r="L48" i="3"/>
  <c r="L41" i="3"/>
  <c r="L33" i="3"/>
  <c r="G16" i="3"/>
  <c r="H16" i="3"/>
  <c r="I16" i="3"/>
  <c r="G15" i="3"/>
  <c r="H15" i="3"/>
  <c r="I15" i="3"/>
  <c r="G14" i="3"/>
  <c r="H14" i="3"/>
  <c r="I14" i="3"/>
  <c r="I13" i="3"/>
  <c r="H13" i="3"/>
  <c r="G13" i="3"/>
  <c r="Y15" i="3"/>
  <c r="C119" i="3"/>
  <c r="G119" i="3"/>
  <c r="H119" i="3"/>
  <c r="I119" i="3"/>
  <c r="G115" i="3"/>
  <c r="H115" i="3"/>
  <c r="I115" i="3"/>
  <c r="G114" i="3"/>
  <c r="H114" i="3"/>
  <c r="I114" i="3"/>
  <c r="G110" i="3"/>
  <c r="H110" i="3"/>
  <c r="I110" i="3"/>
  <c r="G109" i="3"/>
  <c r="H109" i="3"/>
  <c r="I109" i="3"/>
  <c r="G105" i="3"/>
  <c r="H105" i="3"/>
  <c r="I105" i="3"/>
  <c r="G104" i="3"/>
  <c r="H104" i="3"/>
  <c r="I104" i="3"/>
  <c r="G100" i="3"/>
  <c r="H100" i="3"/>
  <c r="I100" i="3"/>
  <c r="G99" i="3"/>
  <c r="H99" i="3"/>
  <c r="I99" i="3"/>
  <c r="G88" i="3"/>
  <c r="H88" i="3"/>
  <c r="I88" i="3"/>
  <c r="G87" i="3"/>
  <c r="H87" i="3"/>
  <c r="I87" i="3"/>
  <c r="G86" i="3"/>
  <c r="H86" i="3"/>
  <c r="I86" i="3"/>
  <c r="G83" i="3"/>
  <c r="H83" i="3"/>
  <c r="I83" i="3"/>
  <c r="G82" i="3"/>
  <c r="H82" i="3"/>
  <c r="I82" i="3"/>
  <c r="G81" i="3"/>
  <c r="H81" i="3"/>
  <c r="I81" i="3"/>
  <c r="G78" i="3"/>
  <c r="H78" i="3"/>
  <c r="I78" i="3"/>
  <c r="G77" i="3"/>
  <c r="H77" i="3"/>
  <c r="I77" i="3"/>
  <c r="G76" i="3"/>
  <c r="H76" i="3"/>
  <c r="I76" i="3"/>
  <c r="G73" i="3"/>
  <c r="H73" i="3"/>
  <c r="I73" i="3"/>
  <c r="G72" i="3"/>
  <c r="H72" i="3"/>
  <c r="I72" i="3"/>
  <c r="G71" i="3"/>
  <c r="H71" i="3"/>
  <c r="I71" i="3"/>
  <c r="G68" i="3"/>
  <c r="H68" i="3"/>
  <c r="I68" i="3"/>
  <c r="G67" i="3"/>
  <c r="H67" i="3"/>
  <c r="I67" i="3"/>
  <c r="G66" i="3"/>
  <c r="H66" i="3"/>
  <c r="I66" i="3"/>
  <c r="G63" i="3"/>
  <c r="H63" i="3"/>
  <c r="I63" i="3"/>
  <c r="G62" i="3"/>
  <c r="H62" i="3"/>
  <c r="I62" i="3"/>
  <c r="G61" i="3"/>
  <c r="H61" i="3"/>
  <c r="I61" i="3"/>
  <c r="G58" i="3"/>
  <c r="H58" i="3"/>
  <c r="I58" i="3"/>
  <c r="G57" i="3"/>
  <c r="H57" i="3"/>
  <c r="I57" i="3"/>
  <c r="G56" i="3"/>
  <c r="H56" i="3"/>
  <c r="I56" i="3"/>
  <c r="G55" i="3"/>
  <c r="H55" i="3"/>
  <c r="I55" i="3"/>
  <c r="G52" i="3"/>
  <c r="H52" i="3"/>
  <c r="I52" i="3"/>
  <c r="G51" i="3"/>
  <c r="H51" i="3"/>
  <c r="I51" i="3"/>
  <c r="G50" i="3"/>
  <c r="H50" i="3"/>
  <c r="I50" i="3"/>
  <c r="G49" i="3"/>
  <c r="H49" i="3"/>
  <c r="I49" i="3"/>
  <c r="G46" i="3"/>
  <c r="H46" i="3"/>
  <c r="I46" i="3"/>
  <c r="G45" i="3"/>
  <c r="H45" i="3"/>
  <c r="I45" i="3"/>
  <c r="G44" i="3"/>
  <c r="H44" i="3"/>
  <c r="I44" i="3"/>
  <c r="I43" i="3"/>
  <c r="H43" i="3"/>
  <c r="G43" i="3"/>
  <c r="F52" i="3"/>
  <c r="F51" i="3"/>
  <c r="F50" i="3"/>
  <c r="F46" i="3"/>
  <c r="F45" i="3"/>
  <c r="F44" i="3"/>
  <c r="AA7" i="3"/>
  <c r="AA8" i="3"/>
  <c r="AA10" i="3"/>
  <c r="AA9" i="3"/>
  <c r="AA6" i="3"/>
  <c r="AA5" i="3"/>
  <c r="X10" i="3"/>
  <c r="B60" i="3"/>
  <c r="B65" i="3"/>
  <c r="B70" i="3"/>
  <c r="B75" i="3"/>
  <c r="B80" i="3"/>
  <c r="B85" i="3"/>
  <c r="B98" i="3"/>
  <c r="B103" i="3"/>
  <c r="B108" i="3"/>
  <c r="B113" i="3"/>
  <c r="B118" i="3"/>
  <c r="D119" i="3"/>
  <c r="D114" i="3"/>
  <c r="D109" i="3"/>
  <c r="D104" i="3"/>
  <c r="D99" i="3"/>
  <c r="D86" i="3"/>
  <c r="D81" i="3"/>
  <c r="D76" i="3"/>
  <c r="D71" i="3"/>
  <c r="D66" i="3"/>
  <c r="D61" i="3"/>
  <c r="D55" i="3"/>
  <c r="D49" i="3"/>
  <c r="D43" i="3"/>
  <c r="L27" i="3"/>
  <c r="G39" i="3"/>
  <c r="H39" i="3"/>
  <c r="I39" i="3"/>
  <c r="G38" i="3"/>
  <c r="H38" i="3"/>
  <c r="I38" i="3"/>
  <c r="G37" i="3"/>
  <c r="H37" i="3"/>
  <c r="I37" i="3"/>
  <c r="G36" i="3"/>
  <c r="H36" i="3"/>
  <c r="I36" i="3"/>
  <c r="G35" i="3"/>
  <c r="H35" i="3"/>
  <c r="I35" i="3"/>
  <c r="G32" i="3"/>
  <c r="H32" i="3"/>
  <c r="I32" i="3"/>
  <c r="G31" i="3"/>
  <c r="H31" i="3"/>
  <c r="I31" i="3"/>
  <c r="G30" i="3"/>
  <c r="H30" i="3"/>
  <c r="I30" i="3"/>
  <c r="G29" i="3"/>
  <c r="H29" i="3"/>
  <c r="I29" i="3"/>
  <c r="G28" i="3"/>
  <c r="H28" i="3"/>
  <c r="I28" i="3"/>
  <c r="L25" i="3"/>
  <c r="K20" i="3"/>
  <c r="K11" i="3"/>
  <c r="F16" i="3"/>
  <c r="F15" i="3"/>
  <c r="F14" i="3"/>
  <c r="F13" i="3"/>
  <c r="F39" i="3"/>
  <c r="F38" i="3"/>
  <c r="F37" i="3"/>
  <c r="F36" i="3"/>
  <c r="F32" i="3"/>
  <c r="F31" i="3"/>
  <c r="F30" i="3"/>
  <c r="F29" i="3"/>
  <c r="G25" i="3"/>
  <c r="H25" i="3"/>
  <c r="I25" i="3"/>
  <c r="G24" i="3"/>
  <c r="H24" i="3"/>
  <c r="I24" i="3"/>
  <c r="G23" i="3"/>
  <c r="H23" i="3"/>
  <c r="I23" i="3"/>
  <c r="G22" i="3"/>
  <c r="H22" i="3"/>
  <c r="I22" i="3"/>
  <c r="G21" i="3"/>
  <c r="H21" i="3"/>
  <c r="I21" i="3"/>
  <c r="G20" i="3"/>
  <c r="H20" i="3"/>
  <c r="I20" i="3"/>
  <c r="G19" i="3"/>
  <c r="H19" i="3"/>
  <c r="I19" i="3"/>
  <c r="G12" i="3"/>
  <c r="H12" i="3"/>
  <c r="I12" i="3"/>
  <c r="L10" i="1"/>
  <c r="L9" i="1"/>
  <c r="L8" i="1"/>
  <c r="L7" i="1"/>
  <c r="L6" i="1"/>
  <c r="L5" i="1"/>
  <c r="L4" i="1"/>
  <c r="L3" i="1"/>
  <c r="J10" i="1"/>
  <c r="J9" i="1"/>
  <c r="J8" i="1"/>
  <c r="J7" i="1"/>
  <c r="J6" i="1"/>
  <c r="J5" i="1"/>
  <c r="J4" i="1"/>
  <c r="J3" i="1"/>
  <c r="X19" i="1"/>
  <c r="X16" i="1"/>
  <c r="AG13" i="1"/>
  <c r="AC6" i="1"/>
  <c r="AC3" i="1"/>
</calcChain>
</file>

<file path=xl/sharedStrings.xml><?xml version="1.0" encoding="utf-8"?>
<sst xmlns="http://schemas.openxmlformats.org/spreadsheetml/2006/main" count="167" uniqueCount="116">
  <si>
    <t>Name</t>
  </si>
  <si>
    <t>Sonoma Clean Power</t>
  </si>
  <si>
    <t>Peninsula Clean Energy</t>
  </si>
  <si>
    <t>MCE Clean Energy</t>
  </si>
  <si>
    <t>Start Date</t>
  </si>
  <si>
    <t>CleanPowerSF</t>
  </si>
  <si>
    <t>Redwood Coast Energy Authority</t>
  </si>
  <si>
    <t>Silicon Valley Clean Energy</t>
  </si>
  <si>
    <t>Valley Clean Energy Alliance</t>
  </si>
  <si>
    <t>Monterey Bay Community Power</t>
  </si>
  <si>
    <t>Central Coast Power</t>
  </si>
  <si>
    <t>Riverside County</t>
  </si>
  <si>
    <t>Population Served</t>
  </si>
  <si>
    <t>Apple Valley Choice Energy (San Bernardino County)</t>
  </si>
  <si>
    <t>Lancaster Choice Energy</t>
  </si>
  <si>
    <t>Pico Rivera Innovative Municipal Energy</t>
  </si>
  <si>
    <t>Customer Accts 2016 per CalCCA ppt</t>
  </si>
  <si>
    <t>Customer Meters per Noble</t>
  </si>
  <si>
    <t>264,000 (9-16)</t>
  </si>
  <si>
    <t>239,000 (6-17)</t>
  </si>
  <si>
    <t>57,000 (10-15)</t>
  </si>
  <si>
    <t>77,600 (11-16)</t>
  </si>
  <si>
    <t>292,000 (4-17)</t>
  </si>
  <si>
    <t>Load per Noble data</t>
  </si>
  <si>
    <t>San Jose Clean Energy</t>
  </si>
  <si>
    <t>East Bay Community Energy</t>
  </si>
  <si>
    <t>Los Angeles Community Choice Energy</t>
  </si>
  <si>
    <t>Sierra Valley Energy Authority</t>
  </si>
  <si>
    <t>South Bay Clean Power</t>
  </si>
  <si>
    <t>2016 load (GWh) per CalCCA</t>
  </si>
  <si>
    <t>2017 per CalCCA</t>
  </si>
  <si>
    <t>est.</t>
  </si>
  <si>
    <t>MCE</t>
  </si>
  <si>
    <t>Marin Co.</t>
  </si>
  <si>
    <t>Richmond</t>
  </si>
  <si>
    <t>San Pablo</t>
  </si>
  <si>
    <t>El Cerrito</t>
  </si>
  <si>
    <t>Bencia</t>
  </si>
  <si>
    <t>SCP</t>
  </si>
  <si>
    <t>Napa</t>
  </si>
  <si>
    <t>Lafayette</t>
  </si>
  <si>
    <t>Walnut Creek</t>
  </si>
  <si>
    <t>Sonoma Co.minus Heladsburg</t>
  </si>
  <si>
    <t>Mendocino Co. minus Ukiah</t>
  </si>
  <si>
    <t>SVCE</t>
  </si>
  <si>
    <t>Santa Clara Co. minus Palo Alto, Santa Clara, San Jose</t>
  </si>
  <si>
    <t>EBCE</t>
  </si>
  <si>
    <t>uninc. Alameda</t>
  </si>
  <si>
    <t>Albany</t>
  </si>
  <si>
    <t>Berkeley</t>
  </si>
  <si>
    <t>Dublin</t>
  </si>
  <si>
    <t>Fremont</t>
  </si>
  <si>
    <t xml:space="preserve">Emeryville </t>
  </si>
  <si>
    <t>Hayward</t>
  </si>
  <si>
    <t>Livermore</t>
  </si>
  <si>
    <t>Oakland</t>
  </si>
  <si>
    <t>Piedmont</t>
  </si>
  <si>
    <t>San Leandro</t>
  </si>
  <si>
    <t>Union City</t>
  </si>
  <si>
    <t>MBCP</t>
  </si>
  <si>
    <t>Santa Cruz</t>
  </si>
  <si>
    <t>Monterey</t>
  </si>
  <si>
    <t>San Benito</t>
  </si>
  <si>
    <t>Pop adjustments</t>
  </si>
  <si>
    <t>minus Healdsburg, Ukiah</t>
  </si>
  <si>
    <t>minus Roseville</t>
  </si>
  <si>
    <t>minus Palo Alto, Santa Clara, San Jose</t>
  </si>
  <si>
    <t>CCP</t>
  </si>
  <si>
    <t xml:space="preserve"> Santa Barbara</t>
  </si>
  <si>
    <t>Ventura</t>
  </si>
  <si>
    <t>San Luis Obispo</t>
  </si>
  <si>
    <t>minus Lompoc</t>
  </si>
  <si>
    <t>minus Azusa, Beverly Hills, Burbank, Carson, Cerritos, Glendale, Lancaster, Lomita, City of LA, Malibu, Manhattan Beach, Palos Verdes Estates, Pasadena, Pico Rivera, Redondo Beach, Torrance, Vernon, West Hollywood</t>
  </si>
  <si>
    <t>includes Beverly Hills, Carson, Culver City, Hermosa Beach, Lomita, Malibu, Manhattan Beach, Palos Verdes Estates, Redondo Beach, Santa Monica, Torrance, West Hollywood per SBCP website</t>
  </si>
  <si>
    <t>MWhrs</t>
  </si>
  <si>
    <t>IOU ef</t>
  </si>
  <si>
    <t>CCA ef</t>
  </si>
  <si>
    <t>IOU mt</t>
  </si>
  <si>
    <t>CCA mt</t>
  </si>
  <si>
    <t>GHG reduced</t>
  </si>
  <si>
    <t>LCE</t>
  </si>
  <si>
    <t>CP SF</t>
  </si>
  <si>
    <t>PCE</t>
  </si>
  <si>
    <t>PG&amp;E</t>
  </si>
  <si>
    <t>SCE</t>
  </si>
  <si>
    <t>pop/account</t>
  </si>
  <si>
    <t>Whr/acct</t>
  </si>
  <si>
    <t>avg =&gt;</t>
  </si>
  <si>
    <t>AVCE</t>
  </si>
  <si>
    <t>RCEA</t>
  </si>
  <si>
    <t>SDG&amp;E</t>
  </si>
  <si>
    <t>2010-2015</t>
  </si>
  <si>
    <t>2014-2015</t>
  </si>
  <si>
    <t>$ savings</t>
  </si>
  <si>
    <t>Total 2010-2015</t>
  </si>
  <si>
    <t>Total 2016</t>
  </si>
  <si>
    <t>GHG Reductions annual</t>
  </si>
  <si>
    <t>GHG Reductions cumulative</t>
  </si>
  <si>
    <t>Pop. Served 2016+</t>
  </si>
  <si>
    <t>Accounts 2016+</t>
  </si>
  <si>
    <t>name</t>
  </si>
  <si>
    <t>emission rate</t>
  </si>
  <si>
    <t>weighted avg.</t>
  </si>
  <si>
    <t>pop.</t>
  </si>
  <si>
    <t>2016 avg. CCA emisssion rate calculation</t>
  </si>
  <si>
    <t>$ savings calculation</t>
  </si>
  <si>
    <t xml:space="preserve">Total </t>
  </si>
  <si>
    <t>Total 2017</t>
  </si>
  <si>
    <t>Total 2018</t>
  </si>
  <si>
    <t>Total 2019</t>
  </si>
  <si>
    <t>Total 2020</t>
  </si>
  <si>
    <t>1% SCP savings/acct in 2016</t>
  </si>
  <si>
    <t>San Diego</t>
  </si>
  <si>
    <t>Population of CCEs</t>
  </si>
  <si>
    <t>Source</t>
  </si>
  <si>
    <t xml:space="preserve"> GHG reduction calcs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</si>
</sst>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sz val="12"/>
      <color rgb="FF1D1D1B"/>
      <name val="Cambria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17" fontId="0" fillId="0" borderId="0" xfId="0" applyNumberFormat="1"/>
    <xf numFmtId="3" fontId="0" fillId="0" borderId="0" xfId="0" applyNumberFormat="1"/>
    <xf numFmtId="0" fontId="5" fillId="0" borderId="0" xfId="0" applyFont="1"/>
    <xf numFmtId="3" fontId="6" fillId="0" borderId="0" xfId="0" applyNumberFormat="1" applyFont="1"/>
    <xf numFmtId="3" fontId="0" fillId="0" borderId="0" xfId="105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0" fillId="0" borderId="0" xfId="0" applyNumberFormat="1"/>
    <xf numFmtId="3" fontId="8" fillId="0" borderId="0" xfId="0" applyNumberFormat="1" applyFont="1"/>
    <xf numFmtId="3" fontId="0" fillId="0" borderId="0" xfId="0" applyNumberFormat="1" applyFill="1"/>
    <xf numFmtId="165" fontId="0" fillId="0" borderId="0" xfId="0" applyNumberFormat="1"/>
    <xf numFmtId="165" fontId="6" fillId="0" borderId="0" xfId="0" applyNumberFormat="1" applyFont="1"/>
    <xf numFmtId="1" fontId="0" fillId="0" borderId="0" xfId="0" applyNumberFormat="1"/>
    <xf numFmtId="165" fontId="8" fillId="0" borderId="0" xfId="0" applyNumberFormat="1" applyFont="1"/>
  </cellXfs>
  <cellStyles count="746">
    <cellStyle name="Comma" xfId="10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84"/>
  <sheetViews>
    <sheetView workbookViewId="0">
      <selection activeCell="U28" sqref="U28"/>
    </sheetView>
  </sheetViews>
  <sheetFormatPr baseColWidth="10" defaultRowHeight="15" x14ac:dyDescent="0"/>
  <cols>
    <col min="1" max="1" width="44" customWidth="1"/>
    <col min="2" max="2" width="14.33203125" customWidth="1"/>
    <col min="3" max="3" width="4.33203125" customWidth="1"/>
    <col min="4" max="5" width="18.33203125" style="2" customWidth="1"/>
    <col min="6" max="6" width="18.33203125" customWidth="1"/>
    <col min="7" max="7" width="14.33203125" style="2" customWidth="1"/>
    <col min="8" max="8" width="15" customWidth="1"/>
    <col min="9" max="9" width="5.83203125" customWidth="1"/>
    <col min="10" max="10" width="15" style="9" customWidth="1"/>
    <col min="21" max="23" width="10.83203125" style="2"/>
    <col min="29" max="29" width="10.83203125" style="2"/>
  </cols>
  <sheetData>
    <row r="1" spans="1:33">
      <c r="A1" t="s">
        <v>0</v>
      </c>
      <c r="B1" t="s">
        <v>4</v>
      </c>
      <c r="D1" s="2" t="s">
        <v>12</v>
      </c>
      <c r="E1" s="2" t="s">
        <v>63</v>
      </c>
      <c r="F1" t="s">
        <v>17</v>
      </c>
      <c r="G1" s="2" t="s">
        <v>23</v>
      </c>
      <c r="H1" t="s">
        <v>16</v>
      </c>
      <c r="J1" s="9" t="s">
        <v>85</v>
      </c>
      <c r="K1" t="s">
        <v>29</v>
      </c>
      <c r="L1" t="s">
        <v>86</v>
      </c>
      <c r="M1" t="s">
        <v>30</v>
      </c>
      <c r="N1">
        <v>2018</v>
      </c>
      <c r="O1">
        <v>2019</v>
      </c>
      <c r="P1">
        <v>2020</v>
      </c>
      <c r="U1" s="2" t="s">
        <v>113</v>
      </c>
      <c r="X1" s="2"/>
      <c r="Y1" s="2"/>
      <c r="Z1" s="2"/>
    </row>
    <row r="2" spans="1:33">
      <c r="T2" s="3" t="s">
        <v>32</v>
      </c>
      <c r="U2" s="2" t="s">
        <v>33</v>
      </c>
      <c r="V2" s="2" t="s">
        <v>39</v>
      </c>
      <c r="W2" s="2" t="s">
        <v>34</v>
      </c>
      <c r="X2" s="2" t="s">
        <v>35</v>
      </c>
      <c r="Y2" s="2" t="s">
        <v>36</v>
      </c>
      <c r="Z2" s="2" t="s">
        <v>37</v>
      </c>
      <c r="AA2" s="2" t="s">
        <v>40</v>
      </c>
      <c r="AB2" s="2" t="s">
        <v>41</v>
      </c>
    </row>
    <row r="3" spans="1:33">
      <c r="A3" t="s">
        <v>3</v>
      </c>
      <c r="B3" s="1">
        <v>40299</v>
      </c>
      <c r="C3" s="1"/>
      <c r="D3" s="2">
        <v>680409</v>
      </c>
      <c r="F3" t="s">
        <v>18</v>
      </c>
      <c r="G3" s="2">
        <v>2908.32</v>
      </c>
      <c r="H3" s="2">
        <v>255000</v>
      </c>
      <c r="I3" s="2"/>
      <c r="J3" s="9">
        <f t="shared" ref="J3:J10" si="0">D3/H3</f>
        <v>2.6682705882352939</v>
      </c>
      <c r="K3" s="2">
        <v>2102</v>
      </c>
      <c r="L3" s="2">
        <f t="shared" ref="L3:L10" si="1">M3/H3*1000</f>
        <v>10.75686274509804</v>
      </c>
      <c r="M3" s="2">
        <v>2743</v>
      </c>
      <c r="U3" s="2">
        <v>258972</v>
      </c>
      <c r="V3" s="2">
        <v>140362</v>
      </c>
      <c r="W3" s="2">
        <v>107346</v>
      </c>
      <c r="X3" s="2">
        <v>29730</v>
      </c>
      <c r="Y3" s="2">
        <v>24288</v>
      </c>
      <c r="Z3" s="2">
        <v>27689</v>
      </c>
      <c r="AA3" s="2">
        <v>25154</v>
      </c>
      <c r="AB3" s="2">
        <v>66868</v>
      </c>
      <c r="AC3" s="2">
        <f>SUM(U3:AB3)</f>
        <v>680409</v>
      </c>
    </row>
    <row r="4" spans="1:33">
      <c r="A4" t="s">
        <v>1</v>
      </c>
      <c r="B4" s="1">
        <v>41760</v>
      </c>
      <c r="C4" s="1"/>
      <c r="D4" s="2">
        <v>557356</v>
      </c>
      <c r="E4" s="2" t="s">
        <v>64</v>
      </c>
      <c r="F4" t="s">
        <v>19</v>
      </c>
      <c r="G4" s="2">
        <v>2601.7199999999998</v>
      </c>
      <c r="H4" s="2">
        <v>235000</v>
      </c>
      <c r="I4" s="2"/>
      <c r="J4" s="9">
        <f t="shared" si="0"/>
        <v>2.3717276595744683</v>
      </c>
      <c r="K4" s="2">
        <v>2330</v>
      </c>
      <c r="L4" s="2">
        <f t="shared" si="1"/>
        <v>10.851063829787234</v>
      </c>
      <c r="M4" s="2">
        <v>2550</v>
      </c>
      <c r="X4" s="2"/>
      <c r="Y4" s="2"/>
      <c r="Z4" s="2"/>
    </row>
    <row r="5" spans="1:33">
      <c r="A5" t="s">
        <v>14</v>
      </c>
      <c r="B5" s="1">
        <v>42125</v>
      </c>
      <c r="C5" s="1"/>
      <c r="D5" s="2">
        <v>161103</v>
      </c>
      <c r="F5" t="s">
        <v>20</v>
      </c>
      <c r="G5" s="2">
        <v>595.67999999999995</v>
      </c>
      <c r="H5" s="2">
        <v>52000</v>
      </c>
      <c r="I5" s="2"/>
      <c r="J5" s="9">
        <f t="shared" si="0"/>
        <v>3.0981346153846152</v>
      </c>
      <c r="K5">
        <v>590</v>
      </c>
      <c r="L5" s="2">
        <f t="shared" si="1"/>
        <v>11.442307692307693</v>
      </c>
      <c r="M5">
        <v>595</v>
      </c>
      <c r="T5" s="3" t="s">
        <v>38</v>
      </c>
      <c r="U5" s="2" t="s">
        <v>42</v>
      </c>
      <c r="X5" s="2" t="s">
        <v>43</v>
      </c>
      <c r="Y5" s="2"/>
      <c r="Z5" s="2"/>
    </row>
    <row r="6" spans="1:33">
      <c r="A6" t="s">
        <v>5</v>
      </c>
      <c r="B6" s="1">
        <v>42491</v>
      </c>
      <c r="C6" s="1"/>
      <c r="D6" s="2">
        <v>845602</v>
      </c>
      <c r="F6" t="s">
        <v>21</v>
      </c>
      <c r="G6" s="2">
        <v>630.72</v>
      </c>
      <c r="H6" s="2">
        <v>73000</v>
      </c>
      <c r="I6" s="2"/>
      <c r="J6" s="9">
        <f t="shared" si="0"/>
        <v>11.583589041095891</v>
      </c>
      <c r="K6">
        <v>220</v>
      </c>
      <c r="L6" s="2">
        <f t="shared" si="1"/>
        <v>7.1232876712328768</v>
      </c>
      <c r="M6">
        <v>520</v>
      </c>
      <c r="V6" s="2">
        <v>484566</v>
      </c>
      <c r="W6"/>
      <c r="X6" s="2"/>
      <c r="Y6" s="2">
        <v>72790</v>
      </c>
      <c r="Z6" s="2"/>
      <c r="AA6" s="2"/>
      <c r="AC6" s="2">
        <f>SUM(V6:AB6)</f>
        <v>557356</v>
      </c>
    </row>
    <row r="7" spans="1:33">
      <c r="A7" t="s">
        <v>2</v>
      </c>
      <c r="B7" s="1">
        <v>42644</v>
      </c>
      <c r="C7" s="1"/>
      <c r="D7" s="2">
        <v>753123</v>
      </c>
      <c r="F7" t="s">
        <v>22</v>
      </c>
      <c r="G7" s="2">
        <v>3582.84</v>
      </c>
      <c r="H7" s="2">
        <v>300000</v>
      </c>
      <c r="I7" s="2"/>
      <c r="J7" s="9">
        <f t="shared" si="0"/>
        <v>2.5104099999999998</v>
      </c>
      <c r="L7" s="2">
        <f t="shared" si="1"/>
        <v>12.666666666666666</v>
      </c>
      <c r="M7" s="2">
        <v>3800</v>
      </c>
      <c r="X7" s="2"/>
      <c r="Y7" s="2"/>
      <c r="Z7" s="2"/>
    </row>
    <row r="8" spans="1:33">
      <c r="A8" t="s">
        <v>13</v>
      </c>
      <c r="B8" s="1">
        <v>42826</v>
      </c>
      <c r="C8" s="1"/>
      <c r="D8" s="2">
        <v>71396</v>
      </c>
      <c r="H8" s="2">
        <v>29000</v>
      </c>
      <c r="I8" s="2"/>
      <c r="J8" s="9">
        <f t="shared" si="0"/>
        <v>2.4619310344827587</v>
      </c>
      <c r="L8" s="2">
        <f t="shared" si="1"/>
        <v>8.1034482758620676</v>
      </c>
      <c r="M8" s="2">
        <v>235</v>
      </c>
      <c r="T8" s="3" t="s">
        <v>44</v>
      </c>
      <c r="U8" s="2" t="s">
        <v>45</v>
      </c>
      <c r="X8" s="2"/>
      <c r="Y8" s="2"/>
      <c r="Z8" s="2"/>
    </row>
    <row r="9" spans="1:33">
      <c r="A9" t="s">
        <v>7</v>
      </c>
      <c r="B9" s="1">
        <v>42826</v>
      </c>
      <c r="C9" s="1"/>
      <c r="D9" s="2">
        <v>685254</v>
      </c>
      <c r="E9" s="2" t="s">
        <v>66</v>
      </c>
      <c r="H9" s="2">
        <v>243000</v>
      </c>
      <c r="I9" s="2"/>
      <c r="J9" s="9">
        <f t="shared" si="0"/>
        <v>2.8199753086419754</v>
      </c>
      <c r="L9" s="2">
        <f t="shared" si="1"/>
        <v>10.699588477366255</v>
      </c>
      <c r="M9" s="2">
        <v>2600</v>
      </c>
      <c r="U9" s="2">
        <v>1889638</v>
      </c>
      <c r="V9" s="2">
        <v>66932</v>
      </c>
      <c r="W9" s="2">
        <v>120973</v>
      </c>
      <c r="X9" s="2">
        <v>1016479</v>
      </c>
      <c r="Y9" s="2"/>
      <c r="Z9" s="2"/>
      <c r="AC9" s="2">
        <v>685254</v>
      </c>
    </row>
    <row r="10" spans="1:33">
      <c r="A10" t="s">
        <v>6</v>
      </c>
      <c r="B10" s="1">
        <v>42856</v>
      </c>
      <c r="C10" s="1"/>
      <c r="D10" s="2">
        <v>134398</v>
      </c>
      <c r="H10" s="2">
        <v>60000</v>
      </c>
      <c r="I10" s="2"/>
      <c r="J10" s="9">
        <f t="shared" si="0"/>
        <v>2.2399666666666667</v>
      </c>
      <c r="L10" s="2">
        <f t="shared" si="1"/>
        <v>12.166666666666666</v>
      </c>
      <c r="M10" s="2">
        <v>730</v>
      </c>
      <c r="X10" s="2"/>
      <c r="Y10" s="2"/>
      <c r="Z10" s="2"/>
    </row>
    <row r="11" spans="1:33">
      <c r="B11" s="1"/>
      <c r="C11" s="1"/>
      <c r="H11" s="2"/>
      <c r="I11" s="9" t="s">
        <v>87</v>
      </c>
      <c r="J11" s="9">
        <v>2.66</v>
      </c>
      <c r="K11" t="s">
        <v>87</v>
      </c>
      <c r="L11">
        <v>10.67</v>
      </c>
      <c r="M11" s="2"/>
      <c r="X11" s="2"/>
      <c r="Y11" s="2"/>
      <c r="Z11" s="2"/>
    </row>
    <row r="12" spans="1:33">
      <c r="A12" t="s">
        <v>8</v>
      </c>
      <c r="B12" s="1">
        <v>43191</v>
      </c>
      <c r="C12" s="1" t="s">
        <v>31</v>
      </c>
      <c r="D12" s="2">
        <v>93642</v>
      </c>
      <c r="T12" s="3" t="s">
        <v>46</v>
      </c>
      <c r="U12" s="2" t="s">
        <v>47</v>
      </c>
      <c r="V12" s="2" t="s">
        <v>48</v>
      </c>
      <c r="W12" s="2" t="s">
        <v>49</v>
      </c>
      <c r="X12" s="2" t="s">
        <v>50</v>
      </c>
      <c r="Y12" s="2" t="s">
        <v>52</v>
      </c>
      <c r="Z12" s="2" t="s">
        <v>51</v>
      </c>
      <c r="AA12" s="2" t="s">
        <v>53</v>
      </c>
      <c r="AB12" s="2" t="s">
        <v>54</v>
      </c>
      <c r="AC12" s="2" t="s">
        <v>55</v>
      </c>
      <c r="AD12" s="2" t="s">
        <v>56</v>
      </c>
      <c r="AE12" s="2" t="s">
        <v>57</v>
      </c>
      <c r="AF12" s="2" t="s">
        <v>58</v>
      </c>
    </row>
    <row r="13" spans="1:33">
      <c r="A13" t="s">
        <v>25</v>
      </c>
      <c r="B13" s="1">
        <v>43281</v>
      </c>
      <c r="C13" s="1" t="s">
        <v>31</v>
      </c>
      <c r="D13" s="2">
        <v>1398877</v>
      </c>
      <c r="U13" s="2">
        <v>146787</v>
      </c>
      <c r="V13" s="2">
        <v>18565</v>
      </c>
      <c r="W13" s="2">
        <v>118780</v>
      </c>
      <c r="X13" s="2">
        <v>55844</v>
      </c>
      <c r="Y13" s="2">
        <v>10570</v>
      </c>
      <c r="Z13" s="2">
        <v>226551</v>
      </c>
      <c r="AA13" s="2">
        <v>152889</v>
      </c>
      <c r="AB13" s="2">
        <v>85990</v>
      </c>
      <c r="AC13" s="2">
        <v>410603</v>
      </c>
      <c r="AD13" s="2">
        <v>11113</v>
      </c>
      <c r="AE13" s="2">
        <v>88441</v>
      </c>
      <c r="AF13" s="2">
        <v>72744</v>
      </c>
      <c r="AG13" s="2">
        <f>SUM(U13:AF13)</f>
        <v>1398877</v>
      </c>
    </row>
    <row r="14" spans="1:33">
      <c r="A14" t="s">
        <v>9</v>
      </c>
      <c r="B14" s="1">
        <v>43281</v>
      </c>
      <c r="C14" s="1" t="s">
        <v>31</v>
      </c>
      <c r="D14" s="2">
        <v>755403</v>
      </c>
      <c r="X14" s="2"/>
      <c r="Y14" s="2"/>
      <c r="Z14" s="2"/>
    </row>
    <row r="15" spans="1:33">
      <c r="A15" t="s">
        <v>27</v>
      </c>
      <c r="B15" s="1">
        <v>43281</v>
      </c>
      <c r="C15" s="1" t="s">
        <v>31</v>
      </c>
      <c r="D15" s="2">
        <v>241072</v>
      </c>
      <c r="E15" s="2" t="s">
        <v>65</v>
      </c>
      <c r="T15" s="3" t="s">
        <v>59</v>
      </c>
      <c r="U15" s="2" t="s">
        <v>60</v>
      </c>
      <c r="V15" s="2" t="s">
        <v>61</v>
      </c>
      <c r="W15" s="2" t="s">
        <v>62</v>
      </c>
      <c r="X15" s="2"/>
      <c r="Y15" s="2"/>
      <c r="Z15" s="2"/>
    </row>
    <row r="16" spans="1:33">
      <c r="A16" t="s">
        <v>10</v>
      </c>
      <c r="B16" s="1">
        <v>43281</v>
      </c>
      <c r="C16" s="1" t="s">
        <v>31</v>
      </c>
      <c r="D16" s="2">
        <v>1516530</v>
      </c>
      <c r="E16" s="2" t="s">
        <v>71</v>
      </c>
      <c r="U16" s="2">
        <v>271646</v>
      </c>
      <c r="V16" s="2">
        <v>425413</v>
      </c>
      <c r="W16" s="2">
        <v>58344</v>
      </c>
      <c r="X16" s="2">
        <f>SUM(U16:W16)</f>
        <v>755403</v>
      </c>
      <c r="Y16" s="2"/>
      <c r="Z16" s="2"/>
    </row>
    <row r="17" spans="1:26">
      <c r="A17" t="s">
        <v>24</v>
      </c>
      <c r="B17" s="1">
        <v>43281</v>
      </c>
      <c r="C17" s="1" t="s">
        <v>31</v>
      </c>
      <c r="D17" s="2">
        <v>1016479</v>
      </c>
      <c r="X17" s="2"/>
      <c r="Y17" s="2"/>
      <c r="Z17" s="2"/>
    </row>
    <row r="18" spans="1:26">
      <c r="A18" t="s">
        <v>26</v>
      </c>
      <c r="B18" s="1">
        <v>43464</v>
      </c>
      <c r="C18" s="1" t="s">
        <v>31</v>
      </c>
      <c r="D18" s="2">
        <v>4919704</v>
      </c>
      <c r="E18" s="2" t="s">
        <v>72</v>
      </c>
      <c r="T18" s="3" t="s">
        <v>67</v>
      </c>
      <c r="U18" s="2" t="s">
        <v>70</v>
      </c>
      <c r="V18" s="2" t="s">
        <v>68</v>
      </c>
      <c r="W18" s="2" t="s">
        <v>69</v>
      </c>
      <c r="X18" s="2" t="s">
        <v>71</v>
      </c>
      <c r="Y18" s="2"/>
      <c r="Z18" s="2"/>
    </row>
    <row r="19" spans="1:26">
      <c r="A19" t="s">
        <v>28</v>
      </c>
      <c r="B19" s="1">
        <v>43464</v>
      </c>
      <c r="C19" s="1" t="s">
        <v>31</v>
      </c>
      <c r="D19" s="2">
        <v>616317</v>
      </c>
      <c r="E19" s="2" t="s">
        <v>73</v>
      </c>
      <c r="U19" s="2">
        <v>274293</v>
      </c>
      <c r="V19" s="2">
        <v>394164</v>
      </c>
      <c r="W19" s="2">
        <v>848073</v>
      </c>
      <c r="X19" s="2">
        <f>SUM(U19:W19)</f>
        <v>1516530</v>
      </c>
      <c r="Y19" s="2"/>
      <c r="Z19" s="2"/>
    </row>
    <row r="20" spans="1:26">
      <c r="A20" t="s">
        <v>15</v>
      </c>
      <c r="B20" s="1">
        <v>43464</v>
      </c>
      <c r="C20" s="1" t="s">
        <v>31</v>
      </c>
      <c r="D20" s="2">
        <v>64182</v>
      </c>
      <c r="X20" s="2"/>
      <c r="Y20" s="2"/>
      <c r="Z20" s="2"/>
    </row>
    <row r="21" spans="1:26">
      <c r="A21" t="s">
        <v>11</v>
      </c>
      <c r="B21" s="1">
        <v>43464</v>
      </c>
      <c r="C21" s="1" t="s">
        <v>31</v>
      </c>
      <c r="D21" s="2">
        <v>368823</v>
      </c>
      <c r="X21" s="2"/>
      <c r="Y21" s="2"/>
      <c r="Z21" s="2"/>
    </row>
    <row r="22" spans="1:26">
      <c r="A22" t="s">
        <v>112</v>
      </c>
      <c r="B22" s="1">
        <v>43829</v>
      </c>
      <c r="C22" s="1" t="s">
        <v>31</v>
      </c>
      <c r="D22" s="2">
        <v>3227496</v>
      </c>
      <c r="X22" s="2"/>
      <c r="Y22" s="2"/>
      <c r="Z22" s="2"/>
    </row>
    <row r="23" spans="1:26">
      <c r="X23" s="2"/>
      <c r="Y23" s="2"/>
      <c r="Z23" s="2"/>
    </row>
    <row r="24" spans="1:26">
      <c r="X24" s="2"/>
      <c r="Y24" s="2"/>
      <c r="Z24" s="2"/>
    </row>
    <row r="25" spans="1:26">
      <c r="X25" s="2"/>
      <c r="Y25" s="2"/>
      <c r="Z25" s="2"/>
    </row>
    <row r="26" spans="1:26">
      <c r="X26" s="2"/>
      <c r="Y26" s="2"/>
      <c r="Z26" s="2"/>
    </row>
    <row r="27" spans="1:26">
      <c r="X27" s="2"/>
      <c r="Y27" s="2"/>
      <c r="Z27" s="2"/>
    </row>
    <row r="28" spans="1:26">
      <c r="X28" s="2"/>
      <c r="Y28" s="2"/>
      <c r="Z28" s="2"/>
    </row>
    <row r="29" spans="1:26">
      <c r="X29" s="2"/>
      <c r="Y29" s="2"/>
      <c r="Z29" s="2"/>
    </row>
    <row r="30" spans="1:26">
      <c r="X30" s="2"/>
      <c r="Y30" s="2"/>
      <c r="Z30" s="2"/>
    </row>
    <row r="31" spans="1:26">
      <c r="X31" s="2"/>
      <c r="Y31" s="2"/>
      <c r="Z31" s="2"/>
    </row>
    <row r="32" spans="1:26">
      <c r="X32" s="2"/>
      <c r="Y32" s="2"/>
      <c r="Z32" s="2"/>
    </row>
    <row r="33" spans="24:26">
      <c r="X33" s="2"/>
      <c r="Y33" s="2"/>
      <c r="Z33" s="2"/>
    </row>
    <row r="34" spans="24:26">
      <c r="X34" s="2"/>
      <c r="Y34" s="2"/>
      <c r="Z34" s="2"/>
    </row>
    <row r="35" spans="24:26">
      <c r="X35" s="2"/>
      <c r="Y35" s="2"/>
      <c r="Z35" s="2"/>
    </row>
    <row r="36" spans="24:26">
      <c r="X36" s="2"/>
      <c r="Y36" s="2"/>
      <c r="Z36" s="2"/>
    </row>
    <row r="37" spans="24:26">
      <c r="X37" s="2"/>
      <c r="Y37" s="2"/>
      <c r="Z37" s="2"/>
    </row>
    <row r="38" spans="24:26">
      <c r="X38" s="2"/>
      <c r="Y38" s="2"/>
      <c r="Z38" s="2"/>
    </row>
    <row r="39" spans="24:26">
      <c r="X39" s="2"/>
      <c r="Y39" s="2"/>
      <c r="Z39" s="2"/>
    </row>
    <row r="40" spans="24:26">
      <c r="X40" s="2"/>
      <c r="Y40" s="2"/>
      <c r="Z40" s="2"/>
    </row>
    <row r="41" spans="24:26">
      <c r="X41" s="2"/>
      <c r="Y41" s="2"/>
      <c r="Z41" s="2"/>
    </row>
    <row r="42" spans="24:26">
      <c r="X42" s="2"/>
      <c r="Y42" s="2"/>
      <c r="Z42" s="2"/>
    </row>
    <row r="43" spans="24:26">
      <c r="X43" s="2"/>
      <c r="Y43" s="2"/>
      <c r="Z43" s="2"/>
    </row>
    <row r="44" spans="24:26">
      <c r="X44" s="2"/>
      <c r="Y44" s="2"/>
      <c r="Z44" s="2"/>
    </row>
    <row r="45" spans="24:26">
      <c r="X45" s="2"/>
      <c r="Y45" s="2"/>
      <c r="Z45" s="2"/>
    </row>
    <row r="46" spans="24:26">
      <c r="X46" s="2"/>
      <c r="Y46" s="2"/>
      <c r="Z46" s="2"/>
    </row>
    <row r="47" spans="24:26">
      <c r="X47" s="2"/>
      <c r="Y47" s="2"/>
      <c r="Z47" s="2"/>
    </row>
    <row r="48" spans="24:26">
      <c r="X48" s="2"/>
      <c r="Y48" s="2"/>
      <c r="Z48" s="2"/>
    </row>
    <row r="49" spans="24:26">
      <c r="X49" s="2"/>
      <c r="Y49" s="2"/>
      <c r="Z49" s="2"/>
    </row>
    <row r="50" spans="24:26">
      <c r="X50" s="2"/>
      <c r="Y50" s="2"/>
      <c r="Z50" s="2"/>
    </row>
    <row r="51" spans="24:26">
      <c r="X51" s="2"/>
      <c r="Y51" s="2"/>
      <c r="Z51" s="2"/>
    </row>
    <row r="52" spans="24:26">
      <c r="X52" s="2"/>
      <c r="Y52" s="2"/>
      <c r="Z52" s="2"/>
    </row>
    <row r="53" spans="24:26">
      <c r="X53" s="2"/>
      <c r="Y53" s="2"/>
      <c r="Z53" s="2"/>
    </row>
    <row r="54" spans="24:26">
      <c r="X54" s="2"/>
      <c r="Y54" s="2"/>
      <c r="Z54" s="2"/>
    </row>
    <row r="55" spans="24:26">
      <c r="X55" s="2"/>
      <c r="Y55" s="2"/>
      <c r="Z55" s="2"/>
    </row>
    <row r="56" spans="24:26">
      <c r="X56" s="2"/>
      <c r="Y56" s="2"/>
      <c r="Z56" s="2"/>
    </row>
    <row r="57" spans="24:26">
      <c r="X57" s="2"/>
      <c r="Y57" s="2"/>
      <c r="Z57" s="2"/>
    </row>
    <row r="58" spans="24:26">
      <c r="X58" s="2"/>
      <c r="Y58" s="2"/>
      <c r="Z58" s="2"/>
    </row>
    <row r="59" spans="24:26">
      <c r="X59" s="2"/>
      <c r="Y59" s="2"/>
      <c r="Z59" s="2"/>
    </row>
    <row r="60" spans="24:26">
      <c r="X60" s="2"/>
      <c r="Y60" s="2"/>
      <c r="Z60" s="2"/>
    </row>
    <row r="61" spans="24:26">
      <c r="X61" s="2"/>
      <c r="Y61" s="2"/>
      <c r="Z61" s="2"/>
    </row>
    <row r="62" spans="24:26">
      <c r="X62" s="2"/>
      <c r="Y62" s="2"/>
      <c r="Z62" s="2"/>
    </row>
    <row r="63" spans="24:26">
      <c r="X63" s="2"/>
      <c r="Y63" s="2"/>
      <c r="Z63" s="2"/>
    </row>
    <row r="64" spans="24:26">
      <c r="X64" s="2"/>
      <c r="Y64" s="2"/>
      <c r="Z64" s="2"/>
    </row>
    <row r="65" spans="24:26">
      <c r="X65" s="2"/>
      <c r="Y65" s="2"/>
      <c r="Z65" s="2"/>
    </row>
    <row r="66" spans="24:26">
      <c r="X66" s="2"/>
      <c r="Y66" s="2"/>
      <c r="Z66" s="2"/>
    </row>
    <row r="67" spans="24:26">
      <c r="X67" s="2"/>
      <c r="Y67" s="2"/>
      <c r="Z67" s="2"/>
    </row>
    <row r="68" spans="24:26">
      <c r="X68" s="2"/>
      <c r="Y68" s="2"/>
      <c r="Z68" s="2"/>
    </row>
    <row r="69" spans="24:26">
      <c r="X69" s="2"/>
      <c r="Y69" s="2"/>
      <c r="Z69" s="2"/>
    </row>
    <row r="70" spans="24:26">
      <c r="X70" s="2"/>
      <c r="Y70" s="2"/>
      <c r="Z70" s="2"/>
    </row>
    <row r="71" spans="24:26">
      <c r="X71" s="2"/>
      <c r="Y71" s="2"/>
      <c r="Z71" s="2"/>
    </row>
    <row r="72" spans="24:26">
      <c r="X72" s="2"/>
      <c r="Y72" s="2"/>
      <c r="Z72" s="2"/>
    </row>
    <row r="73" spans="24:26">
      <c r="X73" s="2"/>
      <c r="Y73" s="2"/>
      <c r="Z73" s="2"/>
    </row>
    <row r="74" spans="24:26">
      <c r="X74" s="2"/>
      <c r="Y74" s="2"/>
      <c r="Z74" s="2"/>
    </row>
    <row r="75" spans="24:26">
      <c r="X75" s="2"/>
      <c r="Y75" s="2"/>
      <c r="Z75" s="2"/>
    </row>
    <row r="76" spans="24:26">
      <c r="X76" s="2"/>
      <c r="Y76" s="2"/>
      <c r="Z76" s="2"/>
    </row>
    <row r="77" spans="24:26">
      <c r="X77" s="2"/>
      <c r="Y77" s="2"/>
      <c r="Z77" s="2"/>
    </row>
    <row r="78" spans="24:26">
      <c r="X78" s="2"/>
      <c r="Y78" s="2"/>
      <c r="Z78" s="2"/>
    </row>
    <row r="79" spans="24:26">
      <c r="X79" s="2"/>
      <c r="Y79" s="2"/>
      <c r="Z79" s="2"/>
    </row>
    <row r="80" spans="24:26">
      <c r="X80" s="2"/>
      <c r="Y80" s="2"/>
      <c r="Z80" s="2"/>
    </row>
    <row r="81" spans="24:26">
      <c r="X81" s="2"/>
      <c r="Y81" s="2"/>
      <c r="Z81" s="2"/>
    </row>
    <row r="82" spans="24:26">
      <c r="X82" s="2"/>
      <c r="Y82" s="2"/>
      <c r="Z82" s="2"/>
    </row>
    <row r="83" spans="24:26">
      <c r="X83" s="2"/>
      <c r="Y83" s="2"/>
      <c r="Z83" s="2"/>
    </row>
    <row r="84" spans="24:26">
      <c r="X84" s="2"/>
      <c r="Y84" s="2"/>
      <c r="Z84" s="2"/>
    </row>
    <row r="85" spans="24:26">
      <c r="X85" s="2"/>
      <c r="Y85" s="2"/>
      <c r="Z85" s="2"/>
    </row>
    <row r="86" spans="24:26">
      <c r="X86" s="2"/>
      <c r="Y86" s="2"/>
      <c r="Z86" s="2"/>
    </row>
    <row r="87" spans="24:26">
      <c r="X87" s="2"/>
      <c r="Y87" s="2"/>
      <c r="Z87" s="2"/>
    </row>
    <row r="88" spans="24:26">
      <c r="X88" s="2"/>
      <c r="Y88" s="2"/>
      <c r="Z88" s="2"/>
    </row>
    <row r="89" spans="24:26">
      <c r="X89" s="2"/>
      <c r="Y89" s="2"/>
      <c r="Z89" s="2"/>
    </row>
    <row r="90" spans="24:26">
      <c r="X90" s="2"/>
      <c r="Y90" s="2"/>
      <c r="Z90" s="2"/>
    </row>
    <row r="91" spans="24:26">
      <c r="X91" s="2"/>
      <c r="Y91" s="2"/>
      <c r="Z91" s="2"/>
    </row>
    <row r="92" spans="24:26">
      <c r="X92" s="2"/>
      <c r="Y92" s="2"/>
      <c r="Z92" s="2"/>
    </row>
    <row r="93" spans="24:26">
      <c r="X93" s="2"/>
      <c r="Y93" s="2"/>
      <c r="Z93" s="2"/>
    </row>
    <row r="94" spans="24:26">
      <c r="X94" s="2"/>
      <c r="Y94" s="2"/>
      <c r="Z94" s="2"/>
    </row>
    <row r="95" spans="24:26">
      <c r="X95" s="2"/>
      <c r="Y95" s="2"/>
      <c r="Z95" s="2"/>
    </row>
    <row r="96" spans="24:26">
      <c r="X96" s="2"/>
      <c r="Y96" s="2"/>
      <c r="Z96" s="2"/>
    </row>
    <row r="97" spans="24:26">
      <c r="X97" s="2"/>
      <c r="Y97" s="2"/>
      <c r="Z97" s="2"/>
    </row>
    <row r="98" spans="24:26">
      <c r="X98" s="2"/>
      <c r="Y98" s="2"/>
      <c r="Z98" s="2"/>
    </row>
    <row r="99" spans="24:26">
      <c r="X99" s="2"/>
      <c r="Y99" s="2"/>
      <c r="Z99" s="2"/>
    </row>
    <row r="100" spans="24:26">
      <c r="X100" s="2"/>
      <c r="Y100" s="2"/>
      <c r="Z100" s="2"/>
    </row>
    <row r="101" spans="24:26">
      <c r="X101" s="2"/>
      <c r="Y101" s="2"/>
      <c r="Z101" s="2"/>
    </row>
    <row r="102" spans="24:26">
      <c r="X102" s="2"/>
      <c r="Y102" s="2"/>
      <c r="Z102" s="2"/>
    </row>
    <row r="103" spans="24:26">
      <c r="X103" s="2"/>
      <c r="Y103" s="2"/>
      <c r="Z103" s="2"/>
    </row>
    <row r="104" spans="24:26">
      <c r="X104" s="2"/>
      <c r="Y104" s="2"/>
      <c r="Z104" s="2"/>
    </row>
    <row r="105" spans="24:26">
      <c r="X105" s="2"/>
      <c r="Y105" s="2"/>
      <c r="Z105" s="2"/>
    </row>
    <row r="106" spans="24:26">
      <c r="X106" s="2"/>
      <c r="Y106" s="2"/>
      <c r="Z106" s="2"/>
    </row>
    <row r="107" spans="24:26">
      <c r="X107" s="2"/>
      <c r="Y107" s="2"/>
      <c r="Z107" s="2"/>
    </row>
    <row r="108" spans="24:26">
      <c r="X108" s="2"/>
      <c r="Y108" s="2"/>
      <c r="Z108" s="2"/>
    </row>
    <row r="109" spans="24:26">
      <c r="X109" s="2"/>
      <c r="Y109" s="2"/>
      <c r="Z109" s="2"/>
    </row>
    <row r="110" spans="24:26">
      <c r="X110" s="2"/>
      <c r="Y110" s="2"/>
      <c r="Z110" s="2"/>
    </row>
    <row r="111" spans="24:26">
      <c r="X111" s="2"/>
      <c r="Y111" s="2"/>
      <c r="Z111" s="2"/>
    </row>
    <row r="112" spans="24:26">
      <c r="X112" s="2"/>
      <c r="Y112" s="2"/>
      <c r="Z112" s="2"/>
    </row>
    <row r="113" spans="24:26">
      <c r="X113" s="2"/>
      <c r="Y113" s="2"/>
      <c r="Z113" s="2"/>
    </row>
    <row r="114" spans="24:26">
      <c r="X114" s="2"/>
      <c r="Y114" s="2"/>
      <c r="Z114" s="2"/>
    </row>
    <row r="115" spans="24:26">
      <c r="X115" s="2"/>
      <c r="Y115" s="2"/>
      <c r="Z115" s="2"/>
    </row>
    <row r="116" spans="24:26">
      <c r="X116" s="2"/>
      <c r="Y116" s="2"/>
      <c r="Z116" s="2"/>
    </row>
    <row r="117" spans="24:26">
      <c r="X117" s="2"/>
      <c r="Y117" s="2"/>
      <c r="Z117" s="2"/>
    </row>
    <row r="118" spans="24:26">
      <c r="X118" s="2"/>
      <c r="Y118" s="2"/>
      <c r="Z118" s="2"/>
    </row>
    <row r="119" spans="24:26">
      <c r="X119" s="2"/>
      <c r="Y119" s="2"/>
      <c r="Z119" s="2"/>
    </row>
    <row r="120" spans="24:26">
      <c r="X120" s="2"/>
      <c r="Y120" s="2"/>
      <c r="Z120" s="2"/>
    </row>
    <row r="121" spans="24:26">
      <c r="X121" s="2"/>
      <c r="Y121" s="2"/>
      <c r="Z121" s="2"/>
    </row>
    <row r="122" spans="24:26">
      <c r="X122" s="2"/>
      <c r="Y122" s="2"/>
      <c r="Z122" s="2"/>
    </row>
    <row r="123" spans="24:26">
      <c r="X123" s="2"/>
      <c r="Y123" s="2"/>
      <c r="Z123" s="2"/>
    </row>
    <row r="124" spans="24:26">
      <c r="X124" s="2"/>
      <c r="Y124" s="2"/>
      <c r="Z124" s="2"/>
    </row>
    <row r="125" spans="24:26">
      <c r="X125" s="2"/>
      <c r="Y125" s="2"/>
      <c r="Z125" s="2"/>
    </row>
    <row r="126" spans="24:26">
      <c r="X126" s="2"/>
      <c r="Y126" s="2"/>
      <c r="Z126" s="2"/>
    </row>
    <row r="127" spans="24:26">
      <c r="X127" s="2"/>
      <c r="Y127" s="2"/>
      <c r="Z127" s="2"/>
    </row>
    <row r="128" spans="24:26">
      <c r="X128" s="2"/>
      <c r="Y128" s="2"/>
      <c r="Z128" s="2"/>
    </row>
    <row r="129" spans="24:26">
      <c r="X129" s="2"/>
      <c r="Y129" s="2"/>
      <c r="Z129" s="2"/>
    </row>
    <row r="130" spans="24:26">
      <c r="X130" s="2"/>
      <c r="Y130" s="2"/>
      <c r="Z130" s="2"/>
    </row>
    <row r="131" spans="24:26">
      <c r="X131" s="2"/>
      <c r="Y131" s="2"/>
      <c r="Z131" s="2"/>
    </row>
    <row r="132" spans="24:26">
      <c r="X132" s="2"/>
      <c r="Y132" s="2"/>
      <c r="Z132" s="2"/>
    </row>
    <row r="133" spans="24:26">
      <c r="X133" s="2"/>
      <c r="Y133" s="2"/>
      <c r="Z133" s="2"/>
    </row>
    <row r="134" spans="24:26">
      <c r="X134" s="2"/>
      <c r="Y134" s="2"/>
      <c r="Z134" s="2"/>
    </row>
    <row r="135" spans="24:26">
      <c r="X135" s="2"/>
      <c r="Y135" s="2"/>
      <c r="Z135" s="2"/>
    </row>
    <row r="136" spans="24:26">
      <c r="X136" s="2"/>
      <c r="Y136" s="2"/>
      <c r="Z136" s="2"/>
    </row>
    <row r="137" spans="24:26">
      <c r="X137" s="2"/>
      <c r="Y137" s="2"/>
      <c r="Z137" s="2"/>
    </row>
    <row r="138" spans="24:26">
      <c r="X138" s="2"/>
      <c r="Y138" s="2"/>
      <c r="Z138" s="2"/>
    </row>
    <row r="139" spans="24:26">
      <c r="X139" s="2"/>
      <c r="Y139" s="2"/>
      <c r="Z139" s="2"/>
    </row>
    <row r="140" spans="24:26">
      <c r="X140" s="2"/>
      <c r="Y140" s="2"/>
      <c r="Z140" s="2"/>
    </row>
    <row r="141" spans="24:26">
      <c r="X141" s="2"/>
      <c r="Y141" s="2"/>
      <c r="Z141" s="2"/>
    </row>
    <row r="142" spans="24:26">
      <c r="X142" s="2"/>
      <c r="Y142" s="2"/>
      <c r="Z142" s="2"/>
    </row>
    <row r="143" spans="24:26">
      <c r="X143" s="2"/>
      <c r="Y143" s="2"/>
      <c r="Z143" s="2"/>
    </row>
    <row r="144" spans="24:26">
      <c r="X144" s="2"/>
      <c r="Y144" s="2"/>
      <c r="Z144" s="2"/>
    </row>
    <row r="145" spans="24:26">
      <c r="X145" s="2"/>
      <c r="Y145" s="2"/>
      <c r="Z145" s="2"/>
    </row>
    <row r="146" spans="24:26">
      <c r="X146" s="2"/>
      <c r="Y146" s="2"/>
      <c r="Z146" s="2"/>
    </row>
    <row r="147" spans="24:26">
      <c r="X147" s="2"/>
      <c r="Y147" s="2"/>
      <c r="Z147" s="2"/>
    </row>
    <row r="148" spans="24:26">
      <c r="X148" s="2"/>
      <c r="Y148" s="2"/>
      <c r="Z148" s="2"/>
    </row>
    <row r="149" spans="24:26">
      <c r="X149" s="2"/>
      <c r="Y149" s="2"/>
      <c r="Z149" s="2"/>
    </row>
    <row r="150" spans="24:26">
      <c r="X150" s="2"/>
      <c r="Y150" s="2"/>
      <c r="Z150" s="2"/>
    </row>
    <row r="151" spans="24:26">
      <c r="X151" s="2"/>
      <c r="Y151" s="2"/>
      <c r="Z151" s="2"/>
    </row>
    <row r="152" spans="24:26">
      <c r="X152" s="2"/>
      <c r="Y152" s="2"/>
      <c r="Z152" s="2"/>
    </row>
    <row r="153" spans="24:26">
      <c r="X153" s="2"/>
      <c r="Y153" s="2"/>
      <c r="Z153" s="2"/>
    </row>
    <row r="154" spans="24:26">
      <c r="X154" s="2"/>
      <c r="Y154" s="2"/>
      <c r="Z154" s="2"/>
    </row>
    <row r="155" spans="24:26">
      <c r="X155" s="2"/>
      <c r="Y155" s="2"/>
      <c r="Z155" s="2"/>
    </row>
    <row r="156" spans="24:26">
      <c r="X156" s="2"/>
      <c r="Y156" s="2"/>
      <c r="Z156" s="2"/>
    </row>
    <row r="157" spans="24:26">
      <c r="X157" s="2"/>
      <c r="Y157" s="2"/>
      <c r="Z157" s="2"/>
    </row>
    <row r="158" spans="24:26">
      <c r="X158" s="2"/>
      <c r="Y158" s="2"/>
      <c r="Z158" s="2"/>
    </row>
    <row r="159" spans="24:26">
      <c r="X159" s="2"/>
      <c r="Y159" s="2"/>
      <c r="Z159" s="2"/>
    </row>
    <row r="160" spans="24:26">
      <c r="X160" s="2"/>
      <c r="Y160" s="2"/>
      <c r="Z160" s="2"/>
    </row>
    <row r="161" spans="24:26">
      <c r="X161" s="2"/>
      <c r="Y161" s="2"/>
      <c r="Z161" s="2"/>
    </row>
    <row r="162" spans="24:26">
      <c r="X162" s="2"/>
      <c r="Y162" s="2"/>
      <c r="Z162" s="2"/>
    </row>
    <row r="163" spans="24:26">
      <c r="X163" s="2"/>
      <c r="Y163" s="2"/>
      <c r="Z163" s="2"/>
    </row>
    <row r="164" spans="24:26">
      <c r="X164" s="2"/>
      <c r="Y164" s="2"/>
      <c r="Z164" s="2"/>
    </row>
    <row r="165" spans="24:26">
      <c r="X165" s="2"/>
      <c r="Y165" s="2"/>
      <c r="Z165" s="2"/>
    </row>
    <row r="166" spans="24:26">
      <c r="X166" s="2"/>
      <c r="Y166" s="2"/>
      <c r="Z166" s="2"/>
    </row>
    <row r="167" spans="24:26">
      <c r="X167" s="2"/>
      <c r="Y167" s="2"/>
      <c r="Z167" s="2"/>
    </row>
    <row r="168" spans="24:26">
      <c r="X168" s="2"/>
      <c r="Y168" s="2"/>
      <c r="Z168" s="2"/>
    </row>
    <row r="169" spans="24:26">
      <c r="X169" s="2"/>
      <c r="Y169" s="2"/>
      <c r="Z169" s="2"/>
    </row>
    <row r="170" spans="24:26">
      <c r="X170" s="2"/>
      <c r="Y170" s="2"/>
      <c r="Z170" s="2"/>
    </row>
    <row r="171" spans="24:26">
      <c r="X171" s="2"/>
      <c r="Y171" s="2"/>
      <c r="Z171" s="2"/>
    </row>
    <row r="172" spans="24:26">
      <c r="X172" s="2"/>
      <c r="Y172" s="2"/>
      <c r="Z172" s="2"/>
    </row>
    <row r="173" spans="24:26">
      <c r="X173" s="2"/>
      <c r="Y173" s="2"/>
      <c r="Z173" s="2"/>
    </row>
    <row r="174" spans="24:26">
      <c r="X174" s="2"/>
      <c r="Y174" s="2"/>
      <c r="Z174" s="2"/>
    </row>
    <row r="175" spans="24:26">
      <c r="X175" s="2"/>
      <c r="Y175" s="2"/>
      <c r="Z175" s="2"/>
    </row>
    <row r="176" spans="24:26">
      <c r="X176" s="2"/>
      <c r="Y176" s="2"/>
      <c r="Z176" s="2"/>
    </row>
    <row r="177" spans="24:26">
      <c r="X177" s="2"/>
      <c r="Y177" s="2"/>
      <c r="Z177" s="2"/>
    </row>
    <row r="178" spans="24:26">
      <c r="X178" s="2"/>
      <c r="Y178" s="2"/>
      <c r="Z178" s="2"/>
    </row>
    <row r="179" spans="24:26">
      <c r="X179" s="2"/>
      <c r="Y179" s="2"/>
      <c r="Z179" s="2"/>
    </row>
    <row r="180" spans="24:26">
      <c r="X180" s="2"/>
      <c r="Y180" s="2"/>
      <c r="Z180" s="2"/>
    </row>
    <row r="181" spans="24:26">
      <c r="X181" s="2"/>
      <c r="Y181" s="2"/>
      <c r="Z181" s="2"/>
    </row>
    <row r="182" spans="24:26">
      <c r="X182" s="2"/>
      <c r="Y182" s="2"/>
      <c r="Z182" s="2"/>
    </row>
    <row r="183" spans="24:26">
      <c r="X183" s="2"/>
      <c r="Y183" s="2"/>
      <c r="Z183" s="2"/>
    </row>
    <row r="184" spans="24:26">
      <c r="X184" s="2"/>
      <c r="Y184" s="2"/>
      <c r="Z184" s="2"/>
    </row>
    <row r="185" spans="24:26">
      <c r="X185" s="2"/>
      <c r="Y185" s="2"/>
      <c r="Z185" s="2"/>
    </row>
    <row r="186" spans="24:26">
      <c r="X186" s="2"/>
      <c r="Y186" s="2"/>
      <c r="Z186" s="2"/>
    </row>
    <row r="187" spans="24:26">
      <c r="X187" s="2"/>
      <c r="Y187" s="2"/>
      <c r="Z187" s="2"/>
    </row>
    <row r="188" spans="24:26">
      <c r="X188" s="2"/>
      <c r="Y188" s="2"/>
      <c r="Z188" s="2"/>
    </row>
    <row r="189" spans="24:26">
      <c r="X189" s="2"/>
      <c r="Y189" s="2"/>
      <c r="Z189" s="2"/>
    </row>
    <row r="190" spans="24:26">
      <c r="X190" s="2"/>
      <c r="Y190" s="2"/>
      <c r="Z190" s="2"/>
    </row>
    <row r="191" spans="24:26">
      <c r="X191" s="2"/>
      <c r="Y191" s="2"/>
      <c r="Z191" s="2"/>
    </row>
    <row r="192" spans="24:26">
      <c r="X192" s="2"/>
      <c r="Y192" s="2"/>
      <c r="Z192" s="2"/>
    </row>
    <row r="193" spans="24:26">
      <c r="X193" s="2"/>
      <c r="Y193" s="2"/>
      <c r="Z193" s="2"/>
    </row>
    <row r="194" spans="24:26">
      <c r="X194" s="2"/>
      <c r="Y194" s="2"/>
      <c r="Z194" s="2"/>
    </row>
    <row r="195" spans="24:26">
      <c r="X195" s="2"/>
      <c r="Y195" s="2"/>
      <c r="Z195" s="2"/>
    </row>
    <row r="196" spans="24:26">
      <c r="X196" s="2"/>
      <c r="Y196" s="2"/>
      <c r="Z196" s="2"/>
    </row>
    <row r="197" spans="24:26">
      <c r="X197" s="2"/>
      <c r="Y197" s="2"/>
      <c r="Z197" s="2"/>
    </row>
    <row r="198" spans="24:26">
      <c r="X198" s="2"/>
      <c r="Y198" s="2"/>
      <c r="Z198" s="2"/>
    </row>
    <row r="199" spans="24:26">
      <c r="X199" s="2"/>
      <c r="Y199" s="2"/>
      <c r="Z199" s="2"/>
    </row>
    <row r="200" spans="24:26">
      <c r="X200" s="2"/>
      <c r="Y200" s="2"/>
      <c r="Z200" s="2"/>
    </row>
    <row r="201" spans="24:26">
      <c r="X201" s="2"/>
      <c r="Y201" s="2"/>
      <c r="Z201" s="2"/>
    </row>
    <row r="202" spans="24:26">
      <c r="X202" s="2"/>
      <c r="Y202" s="2"/>
      <c r="Z202" s="2"/>
    </row>
    <row r="203" spans="24:26">
      <c r="X203" s="2"/>
      <c r="Y203" s="2"/>
      <c r="Z203" s="2"/>
    </row>
    <row r="204" spans="24:26">
      <c r="X204" s="2"/>
      <c r="Y204" s="2"/>
      <c r="Z204" s="2"/>
    </row>
    <row r="205" spans="24:26">
      <c r="X205" s="2"/>
      <c r="Y205" s="2"/>
      <c r="Z205" s="2"/>
    </row>
    <row r="206" spans="24:26">
      <c r="X206" s="2"/>
      <c r="Y206" s="2"/>
      <c r="Z206" s="2"/>
    </row>
    <row r="207" spans="24:26">
      <c r="X207" s="2"/>
      <c r="Y207" s="2"/>
      <c r="Z207" s="2"/>
    </row>
    <row r="208" spans="24:26">
      <c r="X208" s="2"/>
      <c r="Y208" s="2"/>
      <c r="Z208" s="2"/>
    </row>
    <row r="209" spans="24:26">
      <c r="X209" s="2"/>
      <c r="Y209" s="2"/>
      <c r="Z209" s="2"/>
    </row>
    <row r="210" spans="24:26">
      <c r="X210" s="2"/>
      <c r="Y210" s="2"/>
      <c r="Z210" s="2"/>
    </row>
    <row r="211" spans="24:26">
      <c r="X211" s="2"/>
      <c r="Y211" s="2"/>
      <c r="Z211" s="2"/>
    </row>
    <row r="212" spans="24:26">
      <c r="X212" s="2"/>
      <c r="Y212" s="2"/>
      <c r="Z212" s="2"/>
    </row>
    <row r="213" spans="24:26">
      <c r="X213" s="2"/>
      <c r="Y213" s="2"/>
      <c r="Z213" s="2"/>
    </row>
    <row r="214" spans="24:26">
      <c r="X214" s="2"/>
      <c r="Y214" s="2"/>
      <c r="Z214" s="2"/>
    </row>
    <row r="215" spans="24:26">
      <c r="X215" s="2"/>
      <c r="Y215" s="2"/>
      <c r="Z215" s="2"/>
    </row>
    <row r="216" spans="24:26">
      <c r="X216" s="2"/>
      <c r="Y216" s="2"/>
      <c r="Z216" s="2"/>
    </row>
    <row r="217" spans="24:26">
      <c r="X217" s="2"/>
      <c r="Y217" s="2"/>
      <c r="Z217" s="2"/>
    </row>
    <row r="218" spans="24:26">
      <c r="X218" s="2"/>
      <c r="Y218" s="2"/>
      <c r="Z218" s="2"/>
    </row>
    <row r="219" spans="24:26">
      <c r="X219" s="2"/>
      <c r="Y219" s="2"/>
      <c r="Z219" s="2"/>
    </row>
    <row r="220" spans="24:26">
      <c r="X220" s="2"/>
      <c r="Y220" s="2"/>
      <c r="Z220" s="2"/>
    </row>
    <row r="221" spans="24:26">
      <c r="X221" s="2"/>
      <c r="Y221" s="2"/>
      <c r="Z221" s="2"/>
    </row>
    <row r="222" spans="24:26">
      <c r="X222" s="2"/>
      <c r="Y222" s="2"/>
      <c r="Z222" s="2"/>
    </row>
    <row r="223" spans="24:26">
      <c r="X223" s="2"/>
      <c r="Y223" s="2"/>
      <c r="Z223" s="2"/>
    </row>
    <row r="224" spans="24:26">
      <c r="X224" s="2"/>
      <c r="Y224" s="2"/>
      <c r="Z224" s="2"/>
    </row>
    <row r="225" spans="24:26">
      <c r="X225" s="2"/>
      <c r="Y225" s="2"/>
      <c r="Z225" s="2"/>
    </row>
    <row r="226" spans="24:26">
      <c r="X226" s="2"/>
      <c r="Y226" s="2"/>
      <c r="Z226" s="2"/>
    </row>
    <row r="227" spans="24:26">
      <c r="X227" s="2"/>
      <c r="Y227" s="2"/>
      <c r="Z227" s="2"/>
    </row>
    <row r="228" spans="24:26">
      <c r="X228" s="2"/>
      <c r="Y228" s="2"/>
      <c r="Z228" s="2"/>
    </row>
    <row r="229" spans="24:26">
      <c r="X229" s="2"/>
      <c r="Y229" s="2"/>
      <c r="Z229" s="2"/>
    </row>
    <row r="230" spans="24:26">
      <c r="X230" s="2"/>
      <c r="Y230" s="2"/>
      <c r="Z230" s="2"/>
    </row>
    <row r="231" spans="24:26">
      <c r="X231" s="2"/>
      <c r="Y231" s="2"/>
      <c r="Z231" s="2"/>
    </row>
    <row r="232" spans="24:26">
      <c r="X232" s="2"/>
      <c r="Y232" s="2"/>
      <c r="Z232" s="2"/>
    </row>
    <row r="233" spans="24:26">
      <c r="X233" s="2"/>
      <c r="Y233" s="2"/>
      <c r="Z233" s="2"/>
    </row>
    <row r="234" spans="24:26">
      <c r="X234" s="2"/>
      <c r="Y234" s="2"/>
      <c r="Z234" s="2"/>
    </row>
    <row r="235" spans="24:26">
      <c r="X235" s="2"/>
      <c r="Y235" s="2"/>
      <c r="Z235" s="2"/>
    </row>
    <row r="236" spans="24:26">
      <c r="X236" s="2"/>
      <c r="Y236" s="2"/>
      <c r="Z236" s="2"/>
    </row>
    <row r="237" spans="24:26">
      <c r="X237" s="2"/>
      <c r="Y237" s="2"/>
      <c r="Z237" s="2"/>
    </row>
    <row r="238" spans="24:26">
      <c r="X238" s="2"/>
      <c r="Y238" s="2"/>
      <c r="Z238" s="2"/>
    </row>
    <row r="239" spans="24:26">
      <c r="X239" s="2"/>
      <c r="Y239" s="2"/>
      <c r="Z239" s="2"/>
    </row>
    <row r="240" spans="24:26">
      <c r="X240" s="2"/>
      <c r="Y240" s="2"/>
      <c r="Z240" s="2"/>
    </row>
    <row r="241" spans="24:26">
      <c r="X241" s="2"/>
      <c r="Y241" s="2"/>
      <c r="Z241" s="2"/>
    </row>
    <row r="242" spans="24:26">
      <c r="X242" s="2"/>
      <c r="Y242" s="2"/>
      <c r="Z242" s="2"/>
    </row>
    <row r="243" spans="24:26">
      <c r="X243" s="2"/>
      <c r="Y243" s="2"/>
      <c r="Z243" s="2"/>
    </row>
    <row r="244" spans="24:26">
      <c r="X244" s="2"/>
      <c r="Y244" s="2"/>
      <c r="Z244" s="2"/>
    </row>
    <row r="245" spans="24:26">
      <c r="X245" s="2"/>
      <c r="Y245" s="2"/>
      <c r="Z245" s="2"/>
    </row>
    <row r="246" spans="24:26">
      <c r="X246" s="2"/>
      <c r="Y246" s="2"/>
      <c r="Z246" s="2"/>
    </row>
    <row r="247" spans="24:26">
      <c r="X247" s="2"/>
      <c r="Y247" s="2"/>
      <c r="Z247" s="2"/>
    </row>
    <row r="248" spans="24:26">
      <c r="X248" s="2"/>
      <c r="Y248" s="2"/>
      <c r="Z248" s="2"/>
    </row>
    <row r="249" spans="24:26">
      <c r="X249" s="2"/>
      <c r="Y249" s="2"/>
      <c r="Z249" s="2"/>
    </row>
    <row r="250" spans="24:26">
      <c r="X250" s="2"/>
      <c r="Y250" s="2"/>
      <c r="Z250" s="2"/>
    </row>
    <row r="251" spans="24:26">
      <c r="X251" s="2"/>
      <c r="Y251" s="2"/>
      <c r="Z251" s="2"/>
    </row>
    <row r="252" spans="24:26">
      <c r="X252" s="2"/>
      <c r="Y252" s="2"/>
      <c r="Z252" s="2"/>
    </row>
    <row r="253" spans="24:26">
      <c r="X253" s="2"/>
      <c r="Y253" s="2"/>
      <c r="Z253" s="2"/>
    </row>
    <row r="254" spans="24:26">
      <c r="X254" s="2"/>
      <c r="Y254" s="2"/>
      <c r="Z254" s="2"/>
    </row>
    <row r="255" spans="24:26">
      <c r="X255" s="2"/>
      <c r="Y255" s="2"/>
      <c r="Z255" s="2"/>
    </row>
    <row r="256" spans="24:26">
      <c r="X256" s="2"/>
      <c r="Y256" s="2"/>
      <c r="Z256" s="2"/>
    </row>
    <row r="257" spans="24:26">
      <c r="X257" s="2"/>
      <c r="Y257" s="2"/>
      <c r="Z257" s="2"/>
    </row>
    <row r="258" spans="24:26">
      <c r="X258" s="2"/>
      <c r="Y258" s="2"/>
      <c r="Z258" s="2"/>
    </row>
    <row r="259" spans="24:26">
      <c r="X259" s="2"/>
      <c r="Y259" s="2"/>
      <c r="Z259" s="2"/>
    </row>
    <row r="260" spans="24:26">
      <c r="X260" s="2"/>
      <c r="Y260" s="2"/>
      <c r="Z260" s="2"/>
    </row>
    <row r="261" spans="24:26">
      <c r="X261" s="2"/>
      <c r="Y261" s="2"/>
      <c r="Z261" s="2"/>
    </row>
    <row r="262" spans="24:26">
      <c r="X262" s="2"/>
      <c r="Y262" s="2"/>
      <c r="Z262" s="2"/>
    </row>
    <row r="263" spans="24:26">
      <c r="X263" s="2"/>
      <c r="Y263" s="2"/>
      <c r="Z263" s="2"/>
    </row>
    <row r="264" spans="24:26">
      <c r="X264" s="2"/>
      <c r="Y264" s="2"/>
      <c r="Z264" s="2"/>
    </row>
    <row r="265" spans="24:26">
      <c r="X265" s="2"/>
      <c r="Y265" s="2"/>
      <c r="Z265" s="2"/>
    </row>
    <row r="266" spans="24:26">
      <c r="X266" s="2"/>
      <c r="Y266" s="2"/>
      <c r="Z266" s="2"/>
    </row>
    <row r="267" spans="24:26">
      <c r="X267" s="2"/>
      <c r="Y267" s="2"/>
      <c r="Z267" s="2"/>
    </row>
    <row r="268" spans="24:26">
      <c r="X268" s="2"/>
      <c r="Y268" s="2"/>
      <c r="Z268" s="2"/>
    </row>
    <row r="269" spans="24:26">
      <c r="X269" s="2"/>
      <c r="Y269" s="2"/>
      <c r="Z269" s="2"/>
    </row>
    <row r="270" spans="24:26">
      <c r="X270" s="2"/>
      <c r="Y270" s="2"/>
      <c r="Z270" s="2"/>
    </row>
    <row r="271" spans="24:26">
      <c r="X271" s="2"/>
      <c r="Y271" s="2"/>
      <c r="Z271" s="2"/>
    </row>
    <row r="272" spans="24:26">
      <c r="X272" s="2"/>
      <c r="Y272" s="2"/>
      <c r="Z272" s="2"/>
    </row>
    <row r="273" spans="24:26">
      <c r="X273" s="2"/>
      <c r="Y273" s="2"/>
      <c r="Z273" s="2"/>
    </row>
    <row r="274" spans="24:26">
      <c r="X274" s="2"/>
      <c r="Y274" s="2"/>
      <c r="Z274" s="2"/>
    </row>
    <row r="275" spans="24:26">
      <c r="X275" s="2"/>
      <c r="Y275" s="2"/>
      <c r="Z275" s="2"/>
    </row>
    <row r="276" spans="24:26">
      <c r="X276" s="2"/>
      <c r="Y276" s="2"/>
      <c r="Z276" s="2"/>
    </row>
    <row r="277" spans="24:26">
      <c r="X277" s="2"/>
      <c r="Y277" s="2"/>
      <c r="Z277" s="2"/>
    </row>
    <row r="278" spans="24:26">
      <c r="X278" s="2"/>
      <c r="Y278" s="2"/>
      <c r="Z278" s="2"/>
    </row>
    <row r="279" spans="24:26">
      <c r="X279" s="2"/>
      <c r="Y279" s="2"/>
      <c r="Z279" s="2"/>
    </row>
    <row r="280" spans="24:26">
      <c r="X280" s="2"/>
      <c r="Y280" s="2"/>
      <c r="Z280" s="2"/>
    </row>
    <row r="281" spans="24:26">
      <c r="X281" s="2"/>
      <c r="Y281" s="2"/>
      <c r="Z281" s="2"/>
    </row>
    <row r="282" spans="24:26">
      <c r="X282" s="2"/>
      <c r="Y282" s="2"/>
      <c r="Z282" s="2"/>
    </row>
    <row r="283" spans="24:26">
      <c r="X283" s="2"/>
      <c r="Y283" s="2"/>
      <c r="Z283" s="2"/>
    </row>
    <row r="284" spans="24:26">
      <c r="X284" s="2"/>
      <c r="Y284" s="2"/>
      <c r="Z284" s="2"/>
    </row>
  </sheetData>
  <phoneticPr fontId="4" type="noConversion"/>
  <pageMargins left="0.75" right="0.75" top="1" bottom="1" header="0.5" footer="0.5"/>
  <pageSetup scale="5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21"/>
  <sheetViews>
    <sheetView tabSelected="1" topLeftCell="D96" zoomScale="125" zoomScaleNormal="125" zoomScalePageLayoutView="125" workbookViewId="0">
      <selection activeCell="I121" sqref="I121"/>
    </sheetView>
  </sheetViews>
  <sheetFormatPr baseColWidth="10" defaultRowHeight="15" x14ac:dyDescent="0"/>
  <cols>
    <col min="2" max="2" width="10.83203125" style="2"/>
    <col min="3" max="3" width="14" customWidth="1"/>
    <col min="4" max="4" width="10.83203125" style="2"/>
    <col min="13" max="13" width="13.83203125" style="12" bestFit="1" customWidth="1"/>
    <col min="16" max="16" width="11.33203125" bestFit="1" customWidth="1"/>
    <col min="24" max="24" width="12" bestFit="1" customWidth="1"/>
    <col min="25" max="25" width="10.83203125" style="2"/>
    <col min="27" max="27" width="10.83203125" style="2"/>
  </cols>
  <sheetData>
    <row r="1" spans="1:27">
      <c r="D1" s="2" t="s">
        <v>115</v>
      </c>
    </row>
    <row r="3" spans="1:27">
      <c r="A3" t="s">
        <v>114</v>
      </c>
      <c r="B3" s="2" t="s">
        <v>99</v>
      </c>
      <c r="C3" t="s">
        <v>98</v>
      </c>
      <c r="D3" s="2" t="s">
        <v>74</v>
      </c>
      <c r="E3" t="s">
        <v>75</v>
      </c>
      <c r="F3" t="s">
        <v>76</v>
      </c>
      <c r="G3" t="s">
        <v>77</v>
      </c>
      <c r="H3" t="s">
        <v>78</v>
      </c>
      <c r="I3" t="s">
        <v>79</v>
      </c>
      <c r="W3" t="s">
        <v>104</v>
      </c>
    </row>
    <row r="4" spans="1:27">
      <c r="W4" t="s">
        <v>100</v>
      </c>
      <c r="X4" t="s">
        <v>103</v>
      </c>
      <c r="Y4" s="2" t="s">
        <v>101</v>
      </c>
      <c r="AA4" s="2" t="s">
        <v>102</v>
      </c>
    </row>
    <row r="5" spans="1:27">
      <c r="A5" t="s">
        <v>32</v>
      </c>
      <c r="B5" s="2">
        <v>255000</v>
      </c>
      <c r="C5" s="2">
        <v>680409</v>
      </c>
      <c r="E5" s="2" t="s">
        <v>83</v>
      </c>
      <c r="F5" s="2"/>
      <c r="G5" s="2"/>
      <c r="H5" s="2"/>
      <c r="I5" s="2"/>
      <c r="J5" s="2"/>
      <c r="W5" t="s">
        <v>32</v>
      </c>
      <c r="X5" s="10">
        <v>680409</v>
      </c>
      <c r="Y5" s="2">
        <v>296</v>
      </c>
      <c r="AA5" s="2">
        <f>X5/X10*Y5</f>
        <v>67.187594846932186</v>
      </c>
    </row>
    <row r="6" spans="1:27">
      <c r="A6">
        <v>2010</v>
      </c>
      <c r="C6" s="5"/>
      <c r="D6" s="5">
        <v>96360</v>
      </c>
      <c r="E6" s="2"/>
      <c r="F6" s="2"/>
      <c r="G6" s="2"/>
      <c r="H6" s="2"/>
      <c r="I6" s="2">
        <v>6788</v>
      </c>
      <c r="J6" s="2"/>
      <c r="W6" t="s">
        <v>38</v>
      </c>
      <c r="X6" s="2">
        <v>557356</v>
      </c>
      <c r="Y6" s="11">
        <v>212</v>
      </c>
      <c r="AA6" s="2">
        <f>X6/X10*Y6</f>
        <v>39.418117135982101</v>
      </c>
    </row>
    <row r="7" spans="1:27">
      <c r="A7">
        <v>2011</v>
      </c>
      <c r="C7" s="5"/>
      <c r="D7" s="5">
        <v>192720</v>
      </c>
      <c r="E7" s="2"/>
      <c r="F7" s="2"/>
      <c r="G7" s="2"/>
      <c r="H7" s="2"/>
      <c r="I7" s="2">
        <v>1660</v>
      </c>
      <c r="J7" s="2"/>
      <c r="W7" t="s">
        <v>81</v>
      </c>
      <c r="X7" s="2">
        <v>845602</v>
      </c>
      <c r="Y7" s="2">
        <v>283</v>
      </c>
      <c r="AA7" s="2">
        <f>X7/X10*Y7</f>
        <v>79.832507615276654</v>
      </c>
    </row>
    <row r="8" spans="1:27">
      <c r="A8">
        <v>2012</v>
      </c>
      <c r="C8" s="5"/>
      <c r="D8" s="5">
        <v>604440</v>
      </c>
      <c r="E8" s="6">
        <v>444.62</v>
      </c>
      <c r="F8" s="2"/>
      <c r="G8" s="2"/>
      <c r="H8" s="2"/>
      <c r="I8" s="2">
        <v>18692</v>
      </c>
      <c r="J8" s="2"/>
      <c r="W8" t="s">
        <v>82</v>
      </c>
      <c r="X8" s="2">
        <v>753123</v>
      </c>
      <c r="Y8" s="2">
        <v>191</v>
      </c>
      <c r="AA8" s="2">
        <f>X8/X10*Y8</f>
        <v>47.98733283671266</v>
      </c>
    </row>
    <row r="9" spans="1:27">
      <c r="A9">
        <v>2013</v>
      </c>
      <c r="C9" s="5"/>
      <c r="D9" s="5">
        <v>1173840</v>
      </c>
      <c r="E9" s="7">
        <v>427.27</v>
      </c>
      <c r="F9" s="2"/>
      <c r="G9" s="2"/>
      <c r="H9" s="2"/>
      <c r="I9" s="2">
        <v>32098</v>
      </c>
      <c r="J9" s="2"/>
      <c r="W9" t="s">
        <v>80</v>
      </c>
      <c r="X9" s="2">
        <v>161103</v>
      </c>
      <c r="Y9" s="2">
        <v>517</v>
      </c>
      <c r="AA9" s="2">
        <f>X9/X10*Y9</f>
        <v>27.785710401645584</v>
      </c>
    </row>
    <row r="10" spans="1:27">
      <c r="A10">
        <v>2014</v>
      </c>
      <c r="C10" s="5"/>
      <c r="D10" s="5">
        <v>1795800</v>
      </c>
      <c r="E10" s="6">
        <v>434.92</v>
      </c>
      <c r="F10" s="2">
        <v>324</v>
      </c>
      <c r="G10" s="2"/>
      <c r="H10" s="2"/>
      <c r="I10" s="2">
        <v>62864</v>
      </c>
      <c r="J10" s="2"/>
      <c r="K10" t="s">
        <v>91</v>
      </c>
      <c r="X10" s="2">
        <f>SUM(X5:X9)</f>
        <v>2997593</v>
      </c>
      <c r="AA10" s="2">
        <f>SUM(AA5:AA9)</f>
        <v>262.21126283654917</v>
      </c>
    </row>
    <row r="11" spans="1:27">
      <c r="A11">
        <v>2015</v>
      </c>
      <c r="C11" s="5"/>
      <c r="D11" s="5">
        <v>2181240</v>
      </c>
      <c r="E11" s="6">
        <v>404.51</v>
      </c>
      <c r="F11" s="2">
        <v>324</v>
      </c>
      <c r="G11" s="2"/>
      <c r="H11" s="2"/>
      <c r="I11" s="2">
        <v>63649</v>
      </c>
      <c r="J11" s="2"/>
      <c r="K11" s="2">
        <f>I6+I7+I8+I9+I10+I11</f>
        <v>185751</v>
      </c>
    </row>
    <row r="12" spans="1:27">
      <c r="A12">
        <v>2016</v>
      </c>
      <c r="C12" s="5"/>
      <c r="D12" s="2">
        <v>2102000</v>
      </c>
      <c r="E12" s="6">
        <v>370</v>
      </c>
      <c r="F12" s="2">
        <v>296</v>
      </c>
      <c r="G12" s="2">
        <f>D12*E12/2200</f>
        <v>353518.18181818182</v>
      </c>
      <c r="H12" s="2">
        <f>D12*F12/2200</f>
        <v>282814.54545454547</v>
      </c>
      <c r="I12" s="2">
        <f>G12-H12</f>
        <v>70703.636363636353</v>
      </c>
      <c r="J12" s="2"/>
    </row>
    <row r="13" spans="1:27">
      <c r="A13">
        <v>2017</v>
      </c>
      <c r="C13" s="2"/>
      <c r="D13" s="2">
        <v>2743000</v>
      </c>
      <c r="E13" s="2">
        <v>349</v>
      </c>
      <c r="F13" s="10">
        <f>F12*0.975</f>
        <v>288.59999999999997</v>
      </c>
      <c r="G13" s="2">
        <f>D13*E13/2200</f>
        <v>435139.54545454547</v>
      </c>
      <c r="H13" s="2">
        <f>D13*F13/2200</f>
        <v>359831.72727272724</v>
      </c>
      <c r="I13" s="2">
        <f>G13-H13</f>
        <v>75307.818181818235</v>
      </c>
      <c r="J13" s="2"/>
    </row>
    <row r="14" spans="1:27">
      <c r="A14">
        <v>2018</v>
      </c>
      <c r="C14" s="2"/>
      <c r="D14" s="2">
        <v>2743000</v>
      </c>
      <c r="E14" s="2">
        <v>328</v>
      </c>
      <c r="F14" s="10">
        <f>F13*0.975</f>
        <v>281.38499999999993</v>
      </c>
      <c r="G14" s="2">
        <f>D14*E14/2200</f>
        <v>408956.36363636365</v>
      </c>
      <c r="H14" s="2">
        <f>D14*F14/2200</f>
        <v>350835.93409090897</v>
      </c>
      <c r="I14" s="2">
        <f>G14-H14</f>
        <v>58120.429545454681</v>
      </c>
      <c r="J14" s="2"/>
      <c r="W14" t="s">
        <v>105</v>
      </c>
      <c r="Y14" s="2" t="s">
        <v>111</v>
      </c>
    </row>
    <row r="15" spans="1:27">
      <c r="A15">
        <v>2019</v>
      </c>
      <c r="C15" s="2"/>
      <c r="D15" s="2">
        <v>2743000</v>
      </c>
      <c r="E15" s="2">
        <v>307</v>
      </c>
      <c r="F15" s="10">
        <f>F14*0.975</f>
        <v>274.35037499999993</v>
      </c>
      <c r="G15" s="2">
        <f>D15*E15/2200</f>
        <v>382773.18181818182</v>
      </c>
      <c r="H15" s="2">
        <f>D15*F15/2200</f>
        <v>342065.03573863627</v>
      </c>
      <c r="I15" s="2">
        <f>G15-H15</f>
        <v>40708.14607954555</v>
      </c>
      <c r="J15" s="2"/>
      <c r="W15" s="10">
        <v>235000</v>
      </c>
      <c r="X15" s="4">
        <f>671055217/100</f>
        <v>6710552.1699999999</v>
      </c>
      <c r="Y15" s="12">
        <f>X15/W15</f>
        <v>28.555541148936168</v>
      </c>
    </row>
    <row r="16" spans="1:27">
      <c r="A16">
        <v>2020</v>
      </c>
      <c r="C16" s="2"/>
      <c r="D16" s="2">
        <v>2743000</v>
      </c>
      <c r="E16" s="2">
        <v>290</v>
      </c>
      <c r="F16" s="10">
        <f>F15*0.975</f>
        <v>267.49161562499995</v>
      </c>
      <c r="G16" s="2">
        <f>D16*E16/2200</f>
        <v>361577.27272727271</v>
      </c>
      <c r="H16" s="2">
        <f>D16*F16/2200</f>
        <v>333513.40984517039</v>
      </c>
      <c r="I16" s="2">
        <f>G16-H16</f>
        <v>28063.862882102316</v>
      </c>
      <c r="J16" s="2"/>
    </row>
    <row r="17" spans="1:16">
      <c r="C17" s="2"/>
      <c r="E17" s="2"/>
      <c r="F17" s="2"/>
      <c r="G17" s="2"/>
      <c r="H17" s="2"/>
      <c r="I17" s="2"/>
      <c r="J17" s="2"/>
    </row>
    <row r="18" spans="1:16">
      <c r="A18" t="s">
        <v>38</v>
      </c>
      <c r="B18" s="2">
        <v>235000</v>
      </c>
      <c r="C18" s="2">
        <v>557356</v>
      </c>
      <c r="E18" s="2"/>
      <c r="F18" s="2"/>
      <c r="G18" s="2"/>
      <c r="H18" s="2"/>
      <c r="I18" s="2"/>
      <c r="J18" s="2"/>
    </row>
    <row r="19" spans="1:16">
      <c r="A19">
        <v>2014</v>
      </c>
      <c r="C19" s="2"/>
      <c r="D19" s="2">
        <v>613200</v>
      </c>
      <c r="E19">
        <v>434.92</v>
      </c>
      <c r="F19" s="6">
        <v>224.38</v>
      </c>
      <c r="G19" s="2">
        <f t="shared" ref="G19:G25" si="0">D19*E19/2200</f>
        <v>121224.06545454546</v>
      </c>
      <c r="H19" s="2">
        <f t="shared" ref="H19:H25" si="1">D19*F19/2200</f>
        <v>62540.825454545455</v>
      </c>
      <c r="I19" s="2">
        <f t="shared" ref="I19:I25" si="2">G19-H19</f>
        <v>58683.240000000005</v>
      </c>
      <c r="J19" s="2"/>
      <c r="K19" t="s">
        <v>92</v>
      </c>
    </row>
    <row r="20" spans="1:16">
      <c r="A20">
        <v>2015</v>
      </c>
      <c r="C20" s="2"/>
      <c r="D20" s="2">
        <v>2102400</v>
      </c>
      <c r="E20">
        <v>404.51</v>
      </c>
      <c r="F20" s="6">
        <v>217.57</v>
      </c>
      <c r="G20" s="2">
        <f t="shared" si="0"/>
        <v>386564.46545454545</v>
      </c>
      <c r="H20" s="2">
        <f t="shared" si="1"/>
        <v>207917.80363636365</v>
      </c>
      <c r="I20" s="2">
        <f t="shared" si="2"/>
        <v>178646.6618181818</v>
      </c>
      <c r="J20" s="2"/>
      <c r="K20" s="2">
        <f>I19+I20</f>
        <v>237329.9018181818</v>
      </c>
      <c r="P20" s="12"/>
    </row>
    <row r="21" spans="1:16">
      <c r="A21">
        <v>2016</v>
      </c>
      <c r="C21" s="2"/>
      <c r="D21" s="2">
        <v>2347680</v>
      </c>
      <c r="E21">
        <v>370</v>
      </c>
      <c r="F21" s="11">
        <v>212</v>
      </c>
      <c r="G21" s="2">
        <f t="shared" si="0"/>
        <v>394837.09090909088</v>
      </c>
      <c r="H21" s="2">
        <f t="shared" si="1"/>
        <v>226230.98181818181</v>
      </c>
      <c r="I21" s="2">
        <f t="shared" si="2"/>
        <v>168606.10909090907</v>
      </c>
      <c r="J21" s="2"/>
      <c r="M21" s="13"/>
    </row>
    <row r="22" spans="1:16">
      <c r="A22">
        <v>2017</v>
      </c>
      <c r="C22" s="2"/>
      <c r="D22" s="2">
        <v>2601720</v>
      </c>
      <c r="E22" s="2">
        <v>349</v>
      </c>
      <c r="F22" s="11">
        <v>206.7</v>
      </c>
      <c r="G22" s="2">
        <f t="shared" si="0"/>
        <v>412727.4</v>
      </c>
      <c r="H22" s="2">
        <f t="shared" si="1"/>
        <v>244443.42</v>
      </c>
      <c r="I22" s="2">
        <f t="shared" si="2"/>
        <v>168283.98</v>
      </c>
      <c r="J22" s="2"/>
      <c r="M22" s="13"/>
    </row>
    <row r="23" spans="1:16">
      <c r="A23">
        <v>2018</v>
      </c>
      <c r="C23" s="2"/>
      <c r="D23" s="2">
        <v>2550000</v>
      </c>
      <c r="E23" s="2">
        <v>328</v>
      </c>
      <c r="F23" s="11">
        <v>201.5</v>
      </c>
      <c r="G23" s="2">
        <f t="shared" si="0"/>
        <v>380181.81818181818</v>
      </c>
      <c r="H23" s="2">
        <f t="shared" si="1"/>
        <v>233556.81818181818</v>
      </c>
      <c r="I23" s="2">
        <f t="shared" si="2"/>
        <v>146625</v>
      </c>
      <c r="J23" s="2"/>
      <c r="M23" s="13"/>
    </row>
    <row r="24" spans="1:16">
      <c r="A24">
        <v>2019</v>
      </c>
      <c r="C24" s="2"/>
      <c r="D24" s="2">
        <v>2550000</v>
      </c>
      <c r="E24" s="2">
        <v>307</v>
      </c>
      <c r="F24" s="11">
        <v>196.5</v>
      </c>
      <c r="G24" s="2">
        <f t="shared" si="0"/>
        <v>355840.90909090912</v>
      </c>
      <c r="H24" s="2">
        <f t="shared" si="1"/>
        <v>227761.36363636365</v>
      </c>
      <c r="I24" s="2">
        <f t="shared" si="2"/>
        <v>128079.54545454547</v>
      </c>
      <c r="J24" s="2"/>
      <c r="M24" s="13"/>
    </row>
    <row r="25" spans="1:16">
      <c r="A25">
        <v>2020</v>
      </c>
      <c r="C25" s="2"/>
      <c r="D25" s="2">
        <v>2550000</v>
      </c>
      <c r="E25" s="2">
        <v>290</v>
      </c>
      <c r="F25" s="11">
        <v>191.6</v>
      </c>
      <c r="G25" s="2">
        <f t="shared" si="0"/>
        <v>336136.36363636365</v>
      </c>
      <c r="H25" s="2">
        <f t="shared" si="1"/>
        <v>222081.81818181818</v>
      </c>
      <c r="I25" s="2">
        <f t="shared" si="2"/>
        <v>114054.54545454547</v>
      </c>
      <c r="J25" s="2"/>
      <c r="K25" t="s">
        <v>94</v>
      </c>
      <c r="L25" s="2">
        <f>K11+K20</f>
        <v>423080.9018181818</v>
      </c>
      <c r="M25" s="13"/>
    </row>
    <row r="26" spans="1:16">
      <c r="C26" s="2"/>
      <c r="E26" s="2"/>
      <c r="F26" s="2"/>
      <c r="G26" s="2"/>
      <c r="H26" s="2"/>
      <c r="I26" s="2"/>
      <c r="J26" s="2"/>
    </row>
    <row r="27" spans="1:16">
      <c r="A27" t="s">
        <v>81</v>
      </c>
      <c r="B27" s="2">
        <v>73000</v>
      </c>
      <c r="C27" s="2">
        <v>845602</v>
      </c>
      <c r="E27">
        <v>404.51</v>
      </c>
      <c r="F27" s="2"/>
      <c r="G27" s="2"/>
      <c r="H27" s="2"/>
      <c r="I27" s="2"/>
      <c r="J27" s="2"/>
      <c r="K27" t="s">
        <v>95</v>
      </c>
      <c r="L27" s="2">
        <f>I12+I21+I28+I35</f>
        <v>342406.98181818181</v>
      </c>
    </row>
    <row r="28" spans="1:16">
      <c r="A28">
        <v>2016</v>
      </c>
      <c r="C28" s="2"/>
      <c r="D28" s="2">
        <v>376680</v>
      </c>
      <c r="E28">
        <v>370</v>
      </c>
      <c r="F28" s="2">
        <v>280</v>
      </c>
      <c r="G28" s="2">
        <f t="shared" ref="G28:G32" si="3">D28*E28/2200</f>
        <v>63350.727272727272</v>
      </c>
      <c r="H28" s="2">
        <f t="shared" ref="H28:H32" si="4">D28*F28/2200</f>
        <v>47941.090909090912</v>
      </c>
      <c r="I28" s="2">
        <f t="shared" ref="I28:I32" si="5">G28-H28</f>
        <v>15409.63636363636</v>
      </c>
      <c r="J28" s="2"/>
    </row>
    <row r="29" spans="1:16">
      <c r="A29">
        <v>2017</v>
      </c>
      <c r="C29" s="2"/>
      <c r="D29" s="2">
        <v>520000</v>
      </c>
      <c r="E29" s="2">
        <v>349</v>
      </c>
      <c r="F29" s="2">
        <f>F28*(1-0.025)</f>
        <v>273</v>
      </c>
      <c r="G29" s="2">
        <f t="shared" si="3"/>
        <v>82490.909090909088</v>
      </c>
      <c r="H29" s="2">
        <f t="shared" si="4"/>
        <v>64527.272727272728</v>
      </c>
      <c r="I29" s="2">
        <f t="shared" si="5"/>
        <v>17963.63636363636</v>
      </c>
      <c r="J29" s="2"/>
    </row>
    <row r="30" spans="1:16">
      <c r="A30">
        <v>2018</v>
      </c>
      <c r="C30" s="2"/>
      <c r="D30" s="2">
        <v>520000</v>
      </c>
      <c r="E30" s="2">
        <v>328</v>
      </c>
      <c r="F30" s="2">
        <f>F29*(1-0.025)</f>
        <v>266.17500000000001</v>
      </c>
      <c r="G30" s="2">
        <f t="shared" si="3"/>
        <v>77527.272727272721</v>
      </c>
      <c r="H30" s="2">
        <f t="shared" si="4"/>
        <v>62914.090909090912</v>
      </c>
      <c r="I30" s="2">
        <f t="shared" si="5"/>
        <v>14613.181818181809</v>
      </c>
      <c r="J30" s="2"/>
    </row>
    <row r="31" spans="1:16">
      <c r="A31">
        <v>2019</v>
      </c>
      <c r="C31" s="2"/>
      <c r="D31" s="2">
        <v>520000</v>
      </c>
      <c r="E31" s="2">
        <v>307</v>
      </c>
      <c r="F31" s="2">
        <f>F30*(1-0.025)</f>
        <v>259.520625</v>
      </c>
      <c r="G31" s="2">
        <f t="shared" si="3"/>
        <v>72563.636363636368</v>
      </c>
      <c r="H31" s="2">
        <f t="shared" si="4"/>
        <v>61341.23863636364</v>
      </c>
      <c r="I31" s="2">
        <f t="shared" si="5"/>
        <v>11222.397727272728</v>
      </c>
      <c r="J31" s="2"/>
    </row>
    <row r="32" spans="1:16">
      <c r="A32">
        <v>2020</v>
      </c>
      <c r="C32" s="2"/>
      <c r="D32" s="2">
        <v>520000</v>
      </c>
      <c r="E32" s="2">
        <v>290</v>
      </c>
      <c r="F32" s="2">
        <f>F31*(1-0.025)</f>
        <v>253.03260937499999</v>
      </c>
      <c r="G32" s="2">
        <f t="shared" si="3"/>
        <v>68545.454545454544</v>
      </c>
      <c r="H32" s="2">
        <f t="shared" si="4"/>
        <v>59807.707670454547</v>
      </c>
      <c r="I32" s="2">
        <f t="shared" si="5"/>
        <v>8737.7468749999971</v>
      </c>
      <c r="J32" s="2"/>
    </row>
    <row r="33" spans="1:13">
      <c r="C33" s="2"/>
      <c r="F33" s="2"/>
      <c r="G33" s="2"/>
      <c r="H33" s="2"/>
      <c r="I33" s="2"/>
      <c r="J33" s="2"/>
      <c r="K33" t="s">
        <v>107</v>
      </c>
      <c r="L33" s="2">
        <f>I13+I22+I29+I36+I43+I49+I55</f>
        <v>691365.76004530455</v>
      </c>
    </row>
    <row r="34" spans="1:13">
      <c r="A34" t="s">
        <v>82</v>
      </c>
      <c r="B34" s="2">
        <v>300000</v>
      </c>
      <c r="C34" s="2">
        <v>753123</v>
      </c>
      <c r="E34" s="8">
        <v>404.51</v>
      </c>
      <c r="F34" s="2"/>
      <c r="G34" s="2"/>
      <c r="H34" s="2"/>
      <c r="I34" s="2"/>
      <c r="J34" s="2"/>
    </row>
    <row r="35" spans="1:13">
      <c r="A35">
        <v>2016</v>
      </c>
      <c r="C35" s="2"/>
      <c r="D35" s="2">
        <v>1059960</v>
      </c>
      <c r="E35" s="8">
        <v>370</v>
      </c>
      <c r="F35" s="2">
        <v>188</v>
      </c>
      <c r="G35" s="2">
        <f t="shared" ref="G35:G39" si="6">D35*E35/2200</f>
        <v>178266</v>
      </c>
      <c r="H35" s="2">
        <f t="shared" ref="H35:H39" si="7">D35*F35/2200</f>
        <v>90578.4</v>
      </c>
      <c r="I35" s="2">
        <f t="shared" ref="I35:I39" si="8">G35-H35</f>
        <v>87687.6</v>
      </c>
      <c r="J35" s="2"/>
    </row>
    <row r="36" spans="1:13">
      <c r="A36">
        <v>2017</v>
      </c>
      <c r="C36" s="2"/>
      <c r="D36" s="2">
        <v>3800000</v>
      </c>
      <c r="E36" s="10">
        <v>349</v>
      </c>
      <c r="F36" s="2">
        <f>F35*(1-0.025)</f>
        <v>183.29999999999998</v>
      </c>
      <c r="G36" s="2">
        <f t="shared" si="6"/>
        <v>602818.18181818177</v>
      </c>
      <c r="H36" s="2">
        <f t="shared" si="7"/>
        <v>316609.09090909088</v>
      </c>
      <c r="I36" s="2">
        <f t="shared" si="8"/>
        <v>286209.09090909088</v>
      </c>
      <c r="J36" s="2"/>
    </row>
    <row r="37" spans="1:13">
      <c r="A37">
        <v>2018</v>
      </c>
      <c r="C37" s="2"/>
      <c r="D37" s="2">
        <v>3800000</v>
      </c>
      <c r="E37" s="10">
        <v>328</v>
      </c>
      <c r="F37" s="2">
        <f>F36*(1-0.025)</f>
        <v>178.71749999999997</v>
      </c>
      <c r="G37" s="2">
        <f t="shared" si="6"/>
        <v>566545.45454545459</v>
      </c>
      <c r="H37" s="2">
        <f t="shared" si="7"/>
        <v>308693.86363636359</v>
      </c>
      <c r="I37" s="2">
        <f t="shared" si="8"/>
        <v>257851.590909091</v>
      </c>
      <c r="J37" s="2"/>
    </row>
    <row r="38" spans="1:13">
      <c r="A38">
        <v>2019</v>
      </c>
      <c r="C38" s="2"/>
      <c r="D38" s="2">
        <v>3800000</v>
      </c>
      <c r="E38" s="10">
        <v>307</v>
      </c>
      <c r="F38" s="2">
        <f>F37*(1-0.025)</f>
        <v>174.24956249999997</v>
      </c>
      <c r="G38" s="2">
        <f t="shared" si="6"/>
        <v>530272.72727272729</v>
      </c>
      <c r="H38" s="2">
        <f t="shared" si="7"/>
        <v>300976.51704545447</v>
      </c>
      <c r="I38" s="2">
        <f t="shared" si="8"/>
        <v>229296.21022727282</v>
      </c>
      <c r="J38" s="2"/>
    </row>
    <row r="39" spans="1:13">
      <c r="A39">
        <v>2020</v>
      </c>
      <c r="C39" s="2"/>
      <c r="D39" s="2">
        <v>3800000</v>
      </c>
      <c r="E39" s="10">
        <v>290</v>
      </c>
      <c r="F39" s="2">
        <f>F38*(1-0.025)</f>
        <v>169.89332343749996</v>
      </c>
      <c r="G39" s="2">
        <f t="shared" si="6"/>
        <v>500909.09090909088</v>
      </c>
      <c r="H39" s="2">
        <f t="shared" si="7"/>
        <v>293452.10411931813</v>
      </c>
      <c r="I39" s="2">
        <f t="shared" si="8"/>
        <v>207456.98678977275</v>
      </c>
      <c r="J39" s="2"/>
    </row>
    <row r="40" spans="1:13">
      <c r="C40" s="2"/>
      <c r="E40" s="2"/>
      <c r="F40" s="2"/>
      <c r="G40" s="2"/>
      <c r="H40" s="2"/>
      <c r="I40" s="2"/>
      <c r="J40" s="2"/>
    </row>
    <row r="41" spans="1:13">
      <c r="C41" s="2"/>
      <c r="E41" s="2"/>
      <c r="F41" s="2"/>
      <c r="G41" s="2"/>
      <c r="H41" s="2"/>
      <c r="I41" s="2"/>
      <c r="J41" s="2"/>
      <c r="K41" t="s">
        <v>108</v>
      </c>
      <c r="L41" s="2">
        <f>I14+I23+I30+I37+I44+I50+I56+I61+I66+I71+I76+I81+I86</f>
        <v>1214334.5710330256</v>
      </c>
    </row>
    <row r="42" spans="1:13">
      <c r="A42" t="s">
        <v>44</v>
      </c>
      <c r="B42" s="2">
        <v>243000</v>
      </c>
      <c r="C42" s="2">
        <v>685254</v>
      </c>
      <c r="E42" s="2"/>
      <c r="F42" s="2"/>
      <c r="G42" s="2"/>
      <c r="H42" s="2"/>
      <c r="I42" s="2"/>
      <c r="J42" s="2"/>
    </row>
    <row r="43" spans="1:13">
      <c r="A43" s="8">
        <v>2017</v>
      </c>
      <c r="B43" s="10"/>
      <c r="C43" s="2"/>
      <c r="D43" s="2">
        <f>C42/2.66*10.67</f>
        <v>2748744.4285714286</v>
      </c>
      <c r="E43" s="10">
        <v>349</v>
      </c>
      <c r="F43" s="2">
        <v>260.6112540962032</v>
      </c>
      <c r="G43" s="2">
        <f>D43*E43/2200</f>
        <v>436050.82071428571</v>
      </c>
      <c r="H43" s="2">
        <f t="shared" ref="H43" si="9">D43*F43/2200</f>
        <v>325615.33305452333</v>
      </c>
      <c r="I43" s="2">
        <f t="shared" ref="I43" si="10">G43-H43</f>
        <v>110435.48765976238</v>
      </c>
      <c r="J43" s="2"/>
    </row>
    <row r="44" spans="1:13">
      <c r="A44" s="8">
        <v>2018</v>
      </c>
      <c r="B44" s="10"/>
      <c r="C44" s="2"/>
      <c r="D44" s="2">
        <v>2748744.4285714286</v>
      </c>
      <c r="E44" s="2">
        <v>328</v>
      </c>
      <c r="F44" s="2">
        <f>F43*(1-0.025)</f>
        <v>254.09597274379811</v>
      </c>
      <c r="G44" s="2">
        <f>D44*E44/2200</f>
        <v>409812.8057142857</v>
      </c>
      <c r="H44" s="2">
        <f t="shared" ref="H44:H46" si="11">D44*F44/2200</f>
        <v>317474.94972816028</v>
      </c>
      <c r="I44" s="2">
        <f t="shared" ref="I44:I46" si="12">G44-H44</f>
        <v>92337.855986125418</v>
      </c>
      <c r="J44" s="2"/>
    </row>
    <row r="45" spans="1:13">
      <c r="A45" s="8">
        <v>2019</v>
      </c>
      <c r="B45" s="10"/>
      <c r="C45" s="2"/>
      <c r="D45" s="2">
        <v>2748744.4285714286</v>
      </c>
      <c r="E45" s="2">
        <v>307</v>
      </c>
      <c r="F45" s="2">
        <f>F44*(1-0.025)</f>
        <v>247.74357342520315</v>
      </c>
      <c r="G45" s="2">
        <f>D45*E45/2200</f>
        <v>383574.79071428569</v>
      </c>
      <c r="H45" s="2">
        <f t="shared" si="11"/>
        <v>309538.07598495629</v>
      </c>
      <c r="I45" s="2">
        <f t="shared" si="12"/>
        <v>74036.714729329397</v>
      </c>
      <c r="J45" s="2"/>
      <c r="M45" s="15"/>
    </row>
    <row r="46" spans="1:13">
      <c r="A46" s="8">
        <v>2020</v>
      </c>
      <c r="B46" s="10"/>
      <c r="C46" s="2"/>
      <c r="D46" s="2">
        <v>2748744.4285714286</v>
      </c>
      <c r="E46" s="2">
        <v>290</v>
      </c>
      <c r="F46" s="2">
        <f>F45*(1-0.025)</f>
        <v>241.54998408957306</v>
      </c>
      <c r="G46" s="2">
        <f>D46*E46/2200</f>
        <v>362334.49285714288</v>
      </c>
      <c r="H46" s="2">
        <f t="shared" si="11"/>
        <v>301799.62408533238</v>
      </c>
      <c r="I46" s="2">
        <f t="shared" si="12"/>
        <v>60534.868771810492</v>
      </c>
      <c r="J46" s="2"/>
      <c r="M46" s="15"/>
    </row>
    <row r="47" spans="1:13">
      <c r="C47" s="2"/>
      <c r="E47" s="2"/>
      <c r="F47" s="2"/>
      <c r="G47" s="2"/>
      <c r="H47" s="2"/>
      <c r="I47" s="2"/>
      <c r="J47" s="2"/>
    </row>
    <row r="48" spans="1:13">
      <c r="A48" t="s">
        <v>88</v>
      </c>
      <c r="B48" s="2">
        <v>29000</v>
      </c>
      <c r="C48" s="2">
        <v>71396</v>
      </c>
      <c r="E48" s="2"/>
      <c r="F48" s="2"/>
      <c r="G48" s="2"/>
      <c r="H48" s="2"/>
      <c r="I48" s="2"/>
      <c r="J48" s="2"/>
      <c r="K48" t="s">
        <v>109</v>
      </c>
      <c r="L48" s="2">
        <f>I15+I24+I31+I38+I45+I51+I57+I62+I67+I72+I77+I82+I87+I99+I104+I109+I114</f>
        <v>1490636.9554660178</v>
      </c>
    </row>
    <row r="49" spans="1:12">
      <c r="A49" s="8">
        <v>2017</v>
      </c>
      <c r="B49" s="10"/>
      <c r="C49" s="2"/>
      <c r="D49" s="2">
        <f>C48/2.66*10.67</f>
        <v>286389.21804511279</v>
      </c>
      <c r="E49" s="10">
        <v>349</v>
      </c>
      <c r="F49" s="2">
        <v>260.6112540962032</v>
      </c>
      <c r="G49" s="2">
        <f t="shared" ref="G49:G52" si="13">D49*E49/2200</f>
        <v>45431.744135338347</v>
      </c>
      <c r="H49" s="2">
        <f t="shared" ref="H49:H52" si="14">D49*F49/2200</f>
        <v>33925.569670167199</v>
      </c>
      <c r="I49" s="2">
        <f t="shared" ref="I49:I52" si="15">G49-H49</f>
        <v>11506.174465171149</v>
      </c>
      <c r="J49" s="2"/>
    </row>
    <row r="50" spans="1:12">
      <c r="A50" s="8">
        <v>2018</v>
      </c>
      <c r="B50" s="10"/>
      <c r="D50" s="2">
        <v>286389.21804511279</v>
      </c>
      <c r="E50" s="2">
        <v>328</v>
      </c>
      <c r="F50" s="2">
        <f>F49*(1-0.025)</f>
        <v>254.09597274379811</v>
      </c>
      <c r="G50" s="2">
        <f t="shared" si="13"/>
        <v>42698.028872180454</v>
      </c>
      <c r="H50" s="2">
        <f t="shared" si="14"/>
        <v>33077.430428413019</v>
      </c>
      <c r="I50" s="2">
        <f t="shared" si="15"/>
        <v>9620.5984437674342</v>
      </c>
      <c r="J50" s="2"/>
    </row>
    <row r="51" spans="1:12">
      <c r="A51" s="8">
        <v>2019</v>
      </c>
      <c r="B51" s="10"/>
      <c r="D51" s="2">
        <v>286389.21804511279</v>
      </c>
      <c r="E51" s="2">
        <v>307</v>
      </c>
      <c r="F51" s="2">
        <f>F50*(1-0.025)</f>
        <v>247.74357342520315</v>
      </c>
      <c r="G51" s="2">
        <f t="shared" si="13"/>
        <v>39964.31360902256</v>
      </c>
      <c r="H51" s="2">
        <f t="shared" si="14"/>
        <v>32250.494667702689</v>
      </c>
      <c r="I51" s="2">
        <f t="shared" si="15"/>
        <v>7713.8189413198706</v>
      </c>
      <c r="J51" s="2"/>
    </row>
    <row r="52" spans="1:12">
      <c r="A52" s="8">
        <v>2020</v>
      </c>
      <c r="B52" s="10"/>
      <c r="D52" s="2">
        <v>286389.21804511279</v>
      </c>
      <c r="E52" s="2">
        <v>290</v>
      </c>
      <c r="F52" s="2">
        <f>F51*(1-0.025)</f>
        <v>241.54998408957306</v>
      </c>
      <c r="G52" s="2">
        <f t="shared" si="13"/>
        <v>37751.306015037597</v>
      </c>
      <c r="H52" s="2">
        <f t="shared" si="14"/>
        <v>31444.232301010117</v>
      </c>
      <c r="I52" s="2">
        <f t="shared" si="15"/>
        <v>6307.0737140274796</v>
      </c>
      <c r="J52" s="2"/>
    </row>
    <row r="53" spans="1:12">
      <c r="A53" s="8"/>
      <c r="B53" s="10"/>
      <c r="F53" s="2"/>
      <c r="G53" s="2"/>
      <c r="H53" s="2"/>
      <c r="I53" s="2"/>
      <c r="J53" s="2"/>
    </row>
    <row r="54" spans="1:12">
      <c r="A54" t="s">
        <v>89</v>
      </c>
      <c r="B54" s="2">
        <v>60000</v>
      </c>
      <c r="C54" s="2">
        <v>134398</v>
      </c>
      <c r="F54" s="2"/>
      <c r="G54" s="2"/>
      <c r="H54" s="2"/>
      <c r="I54" s="2"/>
      <c r="J54" s="2"/>
      <c r="K54" t="s">
        <v>110</v>
      </c>
      <c r="L54" s="2">
        <f>I16+I25+I32+I39+I46+I52+I58+I63+I68+I73+I78+I83+I88+I100+I105+I110+I115+I119</f>
        <v>1386413.7914012659</v>
      </c>
    </row>
    <row r="55" spans="1:12">
      <c r="A55" s="8">
        <v>2017</v>
      </c>
      <c r="B55" s="10"/>
      <c r="D55" s="2">
        <f>C54/2.66*10.67</f>
        <v>539107.76691729319</v>
      </c>
      <c r="E55" s="10">
        <v>349</v>
      </c>
      <c r="F55" s="2">
        <v>260.6112540962032</v>
      </c>
      <c r="G55" s="2">
        <f t="shared" ref="G55:G58" si="16">D55*E55/2200</f>
        <v>85522.095751879693</v>
      </c>
      <c r="H55" s="2">
        <f t="shared" ref="H55:H58" si="17">D55*F55/2200</f>
        <v>63862.523286054267</v>
      </c>
      <c r="I55" s="2">
        <f t="shared" ref="I55:I58" si="18">G55-H55</f>
        <v>21659.572465825426</v>
      </c>
      <c r="J55" s="2"/>
    </row>
    <row r="56" spans="1:12">
      <c r="A56" s="8">
        <v>2018</v>
      </c>
      <c r="B56" s="10"/>
      <c r="D56" s="2">
        <v>539107.76691729319</v>
      </c>
      <c r="E56" s="2">
        <v>328</v>
      </c>
      <c r="F56" s="2">
        <v>254.09597274379811</v>
      </c>
      <c r="G56" s="2">
        <f t="shared" si="16"/>
        <v>80376.067067669166</v>
      </c>
      <c r="H56" s="2">
        <f t="shared" si="17"/>
        <v>62265.960203902912</v>
      </c>
      <c r="I56" s="2">
        <f t="shared" si="18"/>
        <v>18110.106863766254</v>
      </c>
      <c r="J56" s="2"/>
    </row>
    <row r="57" spans="1:12">
      <c r="A57" s="8">
        <v>2019</v>
      </c>
      <c r="B57" s="10"/>
      <c r="D57" s="2">
        <v>539107.76691729319</v>
      </c>
      <c r="E57" s="2">
        <v>307</v>
      </c>
      <c r="F57" s="2">
        <v>247.74357342520315</v>
      </c>
      <c r="G57" s="2">
        <f t="shared" si="16"/>
        <v>75230.038383458639</v>
      </c>
      <c r="H57" s="2">
        <f t="shared" si="17"/>
        <v>60709.311198805335</v>
      </c>
      <c r="I57" s="2">
        <f t="shared" si="18"/>
        <v>14520.727184653304</v>
      </c>
      <c r="J57" s="2"/>
    </row>
    <row r="58" spans="1:12">
      <c r="A58" s="8">
        <v>2020</v>
      </c>
      <c r="B58" s="10"/>
      <c r="D58" s="2">
        <v>539107.76691729319</v>
      </c>
      <c r="E58" s="2">
        <v>290</v>
      </c>
      <c r="F58" s="2">
        <v>241.54998408957306</v>
      </c>
      <c r="G58" s="2">
        <f t="shared" si="16"/>
        <v>71064.205639097738</v>
      </c>
      <c r="H58" s="2">
        <f t="shared" si="17"/>
        <v>59191.578418835197</v>
      </c>
      <c r="I58" s="2">
        <f t="shared" si="18"/>
        <v>11872.627220262541</v>
      </c>
      <c r="J58" s="2"/>
    </row>
    <row r="59" spans="1:12">
      <c r="F59" s="2"/>
      <c r="G59" s="2"/>
      <c r="H59" s="2"/>
      <c r="I59" s="2"/>
      <c r="J59" s="2"/>
    </row>
    <row r="60" spans="1:12">
      <c r="A60" t="s">
        <v>8</v>
      </c>
      <c r="B60" s="2">
        <f>C60/2.66</f>
        <v>35203.759398496237</v>
      </c>
      <c r="C60" s="2">
        <v>93642</v>
      </c>
      <c r="E60" s="10"/>
      <c r="F60" s="2"/>
      <c r="G60" s="2"/>
      <c r="H60" s="2"/>
      <c r="I60" s="2"/>
      <c r="J60" s="2"/>
    </row>
    <row r="61" spans="1:12">
      <c r="A61" s="8">
        <v>2018</v>
      </c>
      <c r="B61" s="10"/>
      <c r="C61" s="2"/>
      <c r="D61" s="2">
        <f>C60/2.66*10.67</f>
        <v>375624.11278195487</v>
      </c>
      <c r="E61" s="2">
        <v>328</v>
      </c>
      <c r="F61" s="2">
        <v>260.6112540962032</v>
      </c>
      <c r="G61" s="2">
        <f t="shared" ref="G61:G63" si="19">D61*E61/2200</f>
        <v>56002.140451127816</v>
      </c>
      <c r="H61" s="2">
        <f t="shared" ref="H61:H63" si="20">D61*F61/2200</f>
        <v>44496.305045854053</v>
      </c>
      <c r="I61" s="2">
        <f t="shared" ref="I61:I63" si="21">G61-H61</f>
        <v>11505.835405273763</v>
      </c>
      <c r="J61" s="2"/>
    </row>
    <row r="62" spans="1:12">
      <c r="A62" s="8">
        <v>2019</v>
      </c>
      <c r="B62" s="10"/>
      <c r="C62" s="2"/>
      <c r="D62" s="2">
        <v>375624.11278195487</v>
      </c>
      <c r="E62" s="2">
        <v>307</v>
      </c>
      <c r="F62" s="2">
        <v>254.09597274379811</v>
      </c>
      <c r="G62" s="2">
        <f t="shared" si="19"/>
        <v>52416.637556390975</v>
      </c>
      <c r="H62" s="2">
        <f t="shared" si="20"/>
        <v>43383.897419707704</v>
      </c>
      <c r="I62" s="2">
        <f t="shared" si="21"/>
        <v>9032.740136683271</v>
      </c>
      <c r="J62" s="2"/>
    </row>
    <row r="63" spans="1:12">
      <c r="A63" s="8">
        <v>2020</v>
      </c>
      <c r="B63" s="10"/>
      <c r="C63" s="2"/>
      <c r="D63" s="2">
        <v>375624.11278195487</v>
      </c>
      <c r="E63" s="2">
        <v>290</v>
      </c>
      <c r="F63" s="2">
        <v>247.74357342520315</v>
      </c>
      <c r="G63" s="2">
        <f t="shared" si="19"/>
        <v>49514.087593984965</v>
      </c>
      <c r="H63" s="2">
        <f t="shared" si="20"/>
        <v>42299.299984215009</v>
      </c>
      <c r="I63" s="2">
        <f t="shared" si="21"/>
        <v>7214.7876097699555</v>
      </c>
      <c r="J63" s="2"/>
    </row>
    <row r="64" spans="1:12">
      <c r="C64" s="2"/>
      <c r="E64" s="2"/>
      <c r="F64" s="2"/>
      <c r="G64" s="2"/>
      <c r="H64" s="2"/>
      <c r="I64" s="2"/>
      <c r="J64" s="2"/>
    </row>
    <row r="65" spans="1:10">
      <c r="A65" t="s">
        <v>25</v>
      </c>
      <c r="B65" s="2">
        <f>C65/2.66</f>
        <v>525893.60902255634</v>
      </c>
      <c r="C65" s="2">
        <v>1398877</v>
      </c>
      <c r="E65" s="2"/>
      <c r="F65" s="2"/>
      <c r="G65" s="2"/>
      <c r="H65" s="2"/>
      <c r="I65" s="2"/>
      <c r="J65" s="2"/>
    </row>
    <row r="66" spans="1:10">
      <c r="A66" s="8">
        <v>2018</v>
      </c>
      <c r="B66" s="10"/>
      <c r="C66" s="2"/>
      <c r="D66" s="2">
        <f>C65/2.66*10.67</f>
        <v>5611284.8082706761</v>
      </c>
      <c r="E66" s="2">
        <v>328</v>
      </c>
      <c r="F66" s="2">
        <v>260.6112540962032</v>
      </c>
      <c r="G66" s="2">
        <f t="shared" ref="G66:G68" si="22">D66*E66/2200</f>
        <v>836591.55323308264</v>
      </c>
      <c r="H66" s="2">
        <f t="shared" ref="H66:H68" si="23">D66*F66/2200</f>
        <v>664710.8958974519</v>
      </c>
      <c r="I66" s="2">
        <f t="shared" ref="I66:I68" si="24">G66-H66</f>
        <v>171880.65733563073</v>
      </c>
      <c r="J66" s="2"/>
    </row>
    <row r="67" spans="1:10">
      <c r="A67" s="8">
        <v>2019</v>
      </c>
      <c r="B67" s="10"/>
      <c r="C67" s="2"/>
      <c r="D67" s="2">
        <v>5611284.8082706761</v>
      </c>
      <c r="E67" s="2">
        <v>307</v>
      </c>
      <c r="F67" s="2">
        <v>254.09597274379811</v>
      </c>
      <c r="G67" s="2">
        <f t="shared" si="22"/>
        <v>783029.28915413516</v>
      </c>
      <c r="H67" s="2">
        <f t="shared" si="23"/>
        <v>648093.12350001547</v>
      </c>
      <c r="I67" s="2">
        <f t="shared" si="24"/>
        <v>134936.16565411969</v>
      </c>
      <c r="J67" s="2"/>
    </row>
    <row r="68" spans="1:10">
      <c r="A68" s="8">
        <v>2020</v>
      </c>
      <c r="B68" s="10"/>
      <c r="C68" s="2"/>
      <c r="D68" s="2">
        <v>5611284.8082706761</v>
      </c>
      <c r="E68" s="2">
        <v>290</v>
      </c>
      <c r="F68" s="2">
        <v>247.74357342520315</v>
      </c>
      <c r="G68" s="2">
        <f t="shared" si="22"/>
        <v>739669.36109022552</v>
      </c>
      <c r="H68" s="2">
        <f t="shared" si="23"/>
        <v>631890.79541251506</v>
      </c>
      <c r="I68" s="2">
        <f t="shared" si="24"/>
        <v>107778.56567771046</v>
      </c>
      <c r="J68" s="2"/>
    </row>
    <row r="69" spans="1:10">
      <c r="C69" s="2"/>
      <c r="E69" s="2"/>
      <c r="F69" s="2"/>
      <c r="G69" s="2"/>
      <c r="H69" s="2"/>
      <c r="I69" s="2"/>
      <c r="J69" s="2"/>
    </row>
    <row r="70" spans="1:10">
      <c r="A70" t="s">
        <v>9</v>
      </c>
      <c r="B70" s="2">
        <f>C70/2.66</f>
        <v>283986.09022556391</v>
      </c>
      <c r="C70" s="2">
        <v>755403</v>
      </c>
      <c r="E70" s="2"/>
      <c r="F70" s="2"/>
      <c r="G70" s="2"/>
      <c r="H70" s="2"/>
      <c r="I70" s="2"/>
      <c r="J70" s="2"/>
    </row>
    <row r="71" spans="1:10">
      <c r="A71" s="8">
        <v>2018</v>
      </c>
      <c r="B71" s="10"/>
      <c r="C71" s="2"/>
      <c r="D71" s="2">
        <f>C70/2.66*10.67</f>
        <v>3030131.5827067667</v>
      </c>
      <c r="E71" s="2">
        <v>328</v>
      </c>
      <c r="F71" s="2">
        <v>260.6112540962032</v>
      </c>
      <c r="G71" s="2">
        <f t="shared" ref="G71:G73" si="25">D71*E71/2200</f>
        <v>451765.07233082701</v>
      </c>
      <c r="H71" s="2">
        <f t="shared" ref="H71:H73" si="26">D71*F71/2200</f>
        <v>358948.35992987431</v>
      </c>
      <c r="I71" s="2">
        <f t="shared" ref="I71:I73" si="27">G71-H71</f>
        <v>92816.712400952703</v>
      </c>
      <c r="J71" s="2"/>
    </row>
    <row r="72" spans="1:10">
      <c r="A72" s="8">
        <v>2019</v>
      </c>
      <c r="B72" s="10"/>
      <c r="C72" s="2"/>
      <c r="D72" s="2">
        <v>3030131.5827067667</v>
      </c>
      <c r="E72" s="2">
        <v>307</v>
      </c>
      <c r="F72" s="2">
        <v>254.09597274379811</v>
      </c>
      <c r="G72" s="2">
        <f t="shared" si="25"/>
        <v>422841.08904135338</v>
      </c>
      <c r="H72" s="2">
        <f t="shared" si="26"/>
        <v>349974.65093162749</v>
      </c>
      <c r="I72" s="2">
        <f t="shared" si="27"/>
        <v>72866.438109725888</v>
      </c>
      <c r="J72" s="2"/>
    </row>
    <row r="73" spans="1:10">
      <c r="A73" s="8">
        <v>2020</v>
      </c>
      <c r="B73" s="10"/>
      <c r="C73" s="2"/>
      <c r="D73" s="2">
        <v>3030131.5827067667</v>
      </c>
      <c r="E73" s="2">
        <v>290</v>
      </c>
      <c r="F73" s="2">
        <v>247.74357342520315</v>
      </c>
      <c r="G73" s="2">
        <f t="shared" si="25"/>
        <v>399426.43590225559</v>
      </c>
      <c r="H73" s="2">
        <f t="shared" si="26"/>
        <v>341225.28465833672</v>
      </c>
      <c r="I73" s="2">
        <f t="shared" si="27"/>
        <v>58201.151243918866</v>
      </c>
      <c r="J73" s="2"/>
    </row>
    <row r="74" spans="1:10">
      <c r="C74" s="2"/>
      <c r="E74" s="2"/>
      <c r="F74" s="2"/>
      <c r="G74" s="2"/>
      <c r="H74" s="2"/>
      <c r="I74" s="2"/>
      <c r="J74" s="2"/>
    </row>
    <row r="75" spans="1:10">
      <c r="A75" t="s">
        <v>27</v>
      </c>
      <c r="B75" s="2">
        <f>C75/2.66</f>
        <v>90628.57142857142</v>
      </c>
      <c r="C75" s="2">
        <v>241072</v>
      </c>
      <c r="E75" s="2"/>
      <c r="F75" s="2"/>
      <c r="G75" s="2"/>
      <c r="H75" s="2"/>
      <c r="I75" s="2"/>
      <c r="J75" s="2"/>
    </row>
    <row r="76" spans="1:10">
      <c r="A76" s="8">
        <v>2018</v>
      </c>
      <c r="B76" s="10"/>
      <c r="C76" s="2"/>
      <c r="D76" s="2">
        <f>C75/2.66*10.67</f>
        <v>967006.85714285704</v>
      </c>
      <c r="E76" s="2">
        <v>328</v>
      </c>
      <c r="F76" s="2">
        <v>260.6112540962032</v>
      </c>
      <c r="G76" s="2">
        <f t="shared" ref="G76:G78" si="28">D76*E76/2200</f>
        <v>144171.93142857144</v>
      </c>
      <c r="H76" s="2">
        <f t="shared" ref="H76:H78" si="29">D76*F76/2200</f>
        <v>114551.30443619454</v>
      </c>
      <c r="I76" s="2">
        <f t="shared" ref="I76:I78" si="30">G76-H76</f>
        <v>29620.6269923769</v>
      </c>
      <c r="J76" s="2"/>
    </row>
    <row r="77" spans="1:10">
      <c r="A77" s="8">
        <v>2019</v>
      </c>
      <c r="B77" s="10"/>
      <c r="C77" s="2"/>
      <c r="D77" s="2">
        <v>967006.85714285704</v>
      </c>
      <c r="E77" s="2">
        <v>307</v>
      </c>
      <c r="F77" s="2">
        <v>254.09597274379811</v>
      </c>
      <c r="G77" s="2">
        <f t="shared" si="28"/>
        <v>134941.41142857142</v>
      </c>
      <c r="H77" s="2">
        <f t="shared" si="29"/>
        <v>111687.52182528967</v>
      </c>
      <c r="I77" s="2">
        <f t="shared" si="30"/>
        <v>23253.889603281743</v>
      </c>
      <c r="J77" s="2"/>
    </row>
    <row r="78" spans="1:10">
      <c r="A78" s="8">
        <v>2020</v>
      </c>
      <c r="B78" s="10"/>
      <c r="C78" s="2"/>
      <c r="D78" s="2">
        <v>967006.85714285704</v>
      </c>
      <c r="E78" s="2">
        <v>290</v>
      </c>
      <c r="F78" s="2">
        <v>247.74357342520315</v>
      </c>
      <c r="G78" s="2">
        <f t="shared" si="28"/>
        <v>127469.0857142857</v>
      </c>
      <c r="H78" s="2">
        <f t="shared" si="29"/>
        <v>108895.33377965743</v>
      </c>
      <c r="I78" s="2">
        <f t="shared" si="30"/>
        <v>18573.751934628264</v>
      </c>
      <c r="J78" s="2"/>
    </row>
    <row r="79" spans="1:10">
      <c r="C79" s="2"/>
      <c r="E79" s="2"/>
      <c r="F79" s="2"/>
      <c r="G79" s="2"/>
      <c r="H79" s="2"/>
      <c r="I79" s="2"/>
      <c r="J79" s="2"/>
    </row>
    <row r="80" spans="1:10">
      <c r="A80" t="s">
        <v>10</v>
      </c>
      <c r="B80" s="2">
        <f>C80/2.66</f>
        <v>570124.06015037594</v>
      </c>
      <c r="C80" s="2">
        <v>1516530</v>
      </c>
    </row>
    <row r="81" spans="1:9">
      <c r="A81" s="8">
        <v>2018</v>
      </c>
      <c r="B81" s="10"/>
      <c r="D81" s="2">
        <f>C80/2.66*10.67</f>
        <v>6083223.7218045108</v>
      </c>
      <c r="E81" s="2">
        <v>328</v>
      </c>
      <c r="F81" s="2">
        <v>260.6112540962032</v>
      </c>
      <c r="G81" s="2">
        <f t="shared" ref="G81:G83" si="31">D81*E81/2200</f>
        <v>906953.35488721798</v>
      </c>
      <c r="H81" s="2">
        <f t="shared" ref="H81:H83" si="32">D81*F81/2200</f>
        <v>720616.61958511185</v>
      </c>
      <c r="I81" s="2">
        <f t="shared" ref="I81:I83" si="33">G81-H81</f>
        <v>186336.73530210613</v>
      </c>
    </row>
    <row r="82" spans="1:9">
      <c r="A82" s="8">
        <v>2019</v>
      </c>
      <c r="B82" s="10"/>
      <c r="D82" s="2">
        <v>6083223.7218045108</v>
      </c>
      <c r="E82" s="2">
        <v>307</v>
      </c>
      <c r="F82" s="2">
        <v>254.09597274379811</v>
      </c>
      <c r="G82" s="2">
        <f t="shared" si="31"/>
        <v>848886.21936090221</v>
      </c>
      <c r="H82" s="2">
        <f t="shared" si="32"/>
        <v>702601.20409548411</v>
      </c>
      <c r="I82" s="2">
        <f t="shared" si="33"/>
        <v>146285.0152654181</v>
      </c>
    </row>
    <row r="83" spans="1:9">
      <c r="A83" s="8">
        <v>2020</v>
      </c>
      <c r="B83" s="10"/>
      <c r="D83" s="2">
        <v>6083223.7218045108</v>
      </c>
      <c r="E83" s="2">
        <v>290</v>
      </c>
      <c r="F83" s="2">
        <v>247.74357342520315</v>
      </c>
      <c r="G83" s="2">
        <f t="shared" si="31"/>
        <v>801879.49060150376</v>
      </c>
      <c r="H83" s="2">
        <f t="shared" si="32"/>
        <v>685036.17399309704</v>
      </c>
      <c r="I83" s="2">
        <f t="shared" si="33"/>
        <v>116843.31660840672</v>
      </c>
    </row>
    <row r="85" spans="1:9">
      <c r="A85" t="s">
        <v>24</v>
      </c>
      <c r="B85" s="2">
        <f>C85/2.66</f>
        <v>382134.96240601502</v>
      </c>
      <c r="C85" s="2">
        <v>1016479</v>
      </c>
    </row>
    <row r="86" spans="1:9">
      <c r="A86" s="8">
        <v>2018</v>
      </c>
      <c r="B86" s="10"/>
      <c r="D86" s="2">
        <f>C85/2.66*10.67</f>
        <v>4077380.0488721803</v>
      </c>
      <c r="E86" s="2">
        <v>328</v>
      </c>
      <c r="F86" s="2">
        <v>260.6112540962032</v>
      </c>
      <c r="G86" s="2">
        <f t="shared" ref="G86:G88" si="34">D86*E86/2200</f>
        <v>607900.29819548863</v>
      </c>
      <c r="H86" s="2">
        <f t="shared" ref="H86:H88" si="35">D86*F86/2200</f>
        <v>483005.05816518964</v>
      </c>
      <c r="I86" s="2">
        <f t="shared" ref="I86:I88" si="36">G86-H86</f>
        <v>124895.240030299</v>
      </c>
    </row>
    <row r="87" spans="1:9">
      <c r="A87" s="8">
        <v>2019</v>
      </c>
      <c r="B87" s="10"/>
      <c r="D87" s="2">
        <v>4077380.0488721803</v>
      </c>
      <c r="E87" s="2">
        <v>307</v>
      </c>
      <c r="F87" s="2">
        <v>254.09597274379811</v>
      </c>
      <c r="G87" s="2">
        <f t="shared" si="34"/>
        <v>568979.85227443604</v>
      </c>
      <c r="H87" s="2">
        <f t="shared" si="35"/>
        <v>470929.93171105988</v>
      </c>
      <c r="I87" s="2">
        <f t="shared" si="36"/>
        <v>98049.920563376159</v>
      </c>
    </row>
    <row r="88" spans="1:9">
      <c r="A88" s="8">
        <v>2020</v>
      </c>
      <c r="B88" s="10"/>
      <c r="D88" s="2">
        <v>4077380.0488721803</v>
      </c>
      <c r="E88" s="2">
        <v>290</v>
      </c>
      <c r="F88" s="2">
        <v>247.74357342520315</v>
      </c>
      <c r="G88" s="2">
        <f t="shared" si="34"/>
        <v>537472.82462406019</v>
      </c>
      <c r="H88" s="2">
        <f t="shared" si="35"/>
        <v>459156.68341828336</v>
      </c>
      <c r="I88" s="2">
        <f t="shared" si="36"/>
        <v>78316.141205776832</v>
      </c>
    </row>
    <row r="90" spans="1:9">
      <c r="A90" t="s">
        <v>80</v>
      </c>
      <c r="B90" s="2">
        <v>52000</v>
      </c>
      <c r="C90" s="2">
        <v>161103</v>
      </c>
      <c r="E90" s="2" t="s">
        <v>84</v>
      </c>
    </row>
    <row r="91" spans="1:9">
      <c r="A91">
        <v>2015</v>
      </c>
      <c r="C91" s="2"/>
      <c r="D91" s="2">
        <v>376680</v>
      </c>
      <c r="E91" s="2">
        <v>517</v>
      </c>
    </row>
    <row r="92" spans="1:9">
      <c r="A92">
        <v>2016</v>
      </c>
      <c r="C92" s="2"/>
      <c r="D92" s="2">
        <v>590000</v>
      </c>
      <c r="E92" s="2"/>
    </row>
    <row r="93" spans="1:9">
      <c r="A93">
        <v>2017</v>
      </c>
      <c r="C93" s="2"/>
      <c r="D93" s="2">
        <v>595000</v>
      </c>
      <c r="E93" s="2"/>
    </row>
    <row r="94" spans="1:9">
      <c r="A94">
        <v>2018</v>
      </c>
      <c r="C94" s="2"/>
      <c r="D94" s="2">
        <v>595000</v>
      </c>
      <c r="E94" s="2"/>
    </row>
    <row r="95" spans="1:9">
      <c r="A95">
        <v>2019</v>
      </c>
      <c r="C95" s="2"/>
      <c r="D95" s="2">
        <v>595000</v>
      </c>
      <c r="E95" s="2"/>
    </row>
    <row r="96" spans="1:9">
      <c r="A96">
        <v>2020</v>
      </c>
      <c r="C96" s="2"/>
      <c r="D96" s="2">
        <v>595000</v>
      </c>
      <c r="E96" s="2"/>
    </row>
    <row r="98" spans="1:9">
      <c r="A98" t="s">
        <v>26</v>
      </c>
      <c r="B98" s="2">
        <f>C98/2.66</f>
        <v>1849512.7819548871</v>
      </c>
      <c r="C98" s="2">
        <v>4919704</v>
      </c>
    </row>
    <row r="99" spans="1:9">
      <c r="A99">
        <v>2019</v>
      </c>
      <c r="D99" s="2">
        <f>C98/2.66*10.67</f>
        <v>19734301.383458644</v>
      </c>
      <c r="E99" s="2">
        <v>307</v>
      </c>
      <c r="F99" s="10">
        <v>261</v>
      </c>
      <c r="G99" s="2">
        <f t="shared" ref="G99:G100" si="37">D99*E99/2200</f>
        <v>2753832.056691729</v>
      </c>
      <c r="H99" s="2">
        <f t="shared" ref="H99:H100" si="38">D99*F99/2200</f>
        <v>2341205.7550375937</v>
      </c>
      <c r="I99" s="2">
        <f t="shared" ref="I99:I100" si="39">G99-H99</f>
        <v>412626.30165413534</v>
      </c>
    </row>
    <row r="100" spans="1:9">
      <c r="A100">
        <v>2020</v>
      </c>
      <c r="D100" s="2">
        <v>19734301.383458644</v>
      </c>
      <c r="E100" s="2">
        <v>290</v>
      </c>
      <c r="F100" s="10">
        <v>254</v>
      </c>
      <c r="G100" s="2">
        <f t="shared" si="37"/>
        <v>2601339.7278195485</v>
      </c>
      <c r="H100" s="2">
        <f t="shared" si="38"/>
        <v>2278414.7960902252</v>
      </c>
      <c r="I100" s="2">
        <f t="shared" si="39"/>
        <v>322924.93172932323</v>
      </c>
    </row>
    <row r="101" spans="1:9">
      <c r="F101" s="10"/>
    </row>
    <row r="103" spans="1:9">
      <c r="A103" t="s">
        <v>28</v>
      </c>
      <c r="B103" s="2">
        <f>C103/2.66</f>
        <v>231698.12030075188</v>
      </c>
      <c r="C103" s="2">
        <v>616317</v>
      </c>
    </row>
    <row r="104" spans="1:9">
      <c r="A104">
        <v>2019</v>
      </c>
      <c r="D104" s="2">
        <f>C103/2.66*10.67</f>
        <v>2472218.9436090225</v>
      </c>
      <c r="E104" s="2">
        <v>307</v>
      </c>
      <c r="F104" s="10">
        <v>261</v>
      </c>
      <c r="G104" s="2">
        <f t="shared" ref="G104:G105" si="40">D104*E104/2200</f>
        <v>344986.91622180451</v>
      </c>
      <c r="H104" s="2">
        <f t="shared" ref="H104:H105" si="41">D104*F104/2200</f>
        <v>293295.06558270677</v>
      </c>
      <c r="I104" s="2">
        <f t="shared" ref="I104:I105" si="42">G104-H104</f>
        <v>51691.850639097742</v>
      </c>
    </row>
    <row r="105" spans="1:9">
      <c r="A105">
        <v>2020</v>
      </c>
      <c r="D105" s="2">
        <v>2472218.9436090225</v>
      </c>
      <c r="E105" s="2">
        <v>290</v>
      </c>
      <c r="F105" s="10">
        <v>254</v>
      </c>
      <c r="G105" s="2">
        <f t="shared" si="40"/>
        <v>325883.40620300756</v>
      </c>
      <c r="H105" s="2">
        <f t="shared" si="41"/>
        <v>285428.91439849627</v>
      </c>
      <c r="I105" s="2">
        <f t="shared" si="42"/>
        <v>40454.491804511286</v>
      </c>
    </row>
    <row r="108" spans="1:9">
      <c r="A108" t="s">
        <v>15</v>
      </c>
      <c r="B108" s="2">
        <f>C108/2.66</f>
        <v>24128.571428571428</v>
      </c>
      <c r="C108" s="2">
        <v>64182</v>
      </c>
    </row>
    <row r="109" spans="1:9">
      <c r="A109">
        <v>2019</v>
      </c>
      <c r="D109" s="2">
        <f>C108/2.66*10.67</f>
        <v>257451.85714285713</v>
      </c>
      <c r="E109" s="2">
        <v>307</v>
      </c>
      <c r="F109" s="10">
        <v>261</v>
      </c>
      <c r="G109" s="2">
        <f t="shared" ref="G109:G110" si="43">D109*E109/2200</f>
        <v>35926.236428571421</v>
      </c>
      <c r="H109" s="2">
        <f t="shared" ref="H109:H110" si="44">D109*F109/2200</f>
        <v>30543.152142857143</v>
      </c>
      <c r="I109" s="2">
        <f t="shared" ref="I109:I110" si="45">G109-H109</f>
        <v>5383.0842857142779</v>
      </c>
    </row>
    <row r="110" spans="1:9">
      <c r="A110">
        <v>2020</v>
      </c>
      <c r="D110" s="2">
        <v>257451.85714285713</v>
      </c>
      <c r="E110" s="2">
        <v>290</v>
      </c>
      <c r="F110" s="10">
        <v>254</v>
      </c>
      <c r="G110" s="2">
        <f t="shared" si="43"/>
        <v>33936.835714285713</v>
      </c>
      <c r="H110" s="2">
        <f t="shared" si="44"/>
        <v>29723.987142857139</v>
      </c>
      <c r="I110" s="2">
        <f t="shared" si="45"/>
        <v>4212.8485714285744</v>
      </c>
    </row>
    <row r="113" spans="1:9">
      <c r="A113" t="s">
        <v>11</v>
      </c>
      <c r="B113" s="2">
        <f>C113/2.66</f>
        <v>138655.26315789472</v>
      </c>
      <c r="C113" s="2">
        <v>368823</v>
      </c>
    </row>
    <row r="114" spans="1:9">
      <c r="A114">
        <v>2019</v>
      </c>
      <c r="D114" s="2">
        <f>C113/2.66*10.67</f>
        <v>1479451.6578947366</v>
      </c>
      <c r="E114" s="2">
        <v>307</v>
      </c>
      <c r="F114" s="10">
        <v>261</v>
      </c>
      <c r="G114" s="2">
        <f t="shared" ref="G114:G115" si="46">D114*E114/2200</f>
        <v>206450.75407894733</v>
      </c>
      <c r="H114" s="2">
        <f t="shared" ref="H114:H115" si="47">D114*F114/2200</f>
        <v>175516.76486842104</v>
      </c>
      <c r="I114" s="2">
        <f t="shared" ref="I114:I115" si="48">G114-H114</f>
        <v>30933.989210526284</v>
      </c>
    </row>
    <row r="115" spans="1:9">
      <c r="A115">
        <v>2020</v>
      </c>
      <c r="D115" s="2">
        <v>1479451.6578947366</v>
      </c>
      <c r="E115" s="2">
        <v>290</v>
      </c>
      <c r="F115" s="10">
        <v>254</v>
      </c>
      <c r="G115" s="2">
        <f t="shared" si="46"/>
        <v>195018.62763157891</v>
      </c>
      <c r="H115" s="2">
        <f t="shared" si="47"/>
        <v>170809.41868421051</v>
      </c>
      <c r="I115" s="2">
        <f t="shared" si="48"/>
        <v>24209.208947368403</v>
      </c>
    </row>
    <row r="118" spans="1:9">
      <c r="A118" t="s">
        <v>112</v>
      </c>
      <c r="B118" s="2">
        <f>C118/2.66</f>
        <v>1213344.3609022556</v>
      </c>
      <c r="C118" s="2">
        <v>3227496</v>
      </c>
      <c r="E118" t="s">
        <v>90</v>
      </c>
    </row>
    <row r="119" spans="1:9">
      <c r="A119">
        <v>2020</v>
      </c>
      <c r="C119" s="2">
        <f>(SUM(C5:C118)/2.66)* 12</f>
        <v>81686463.157894731</v>
      </c>
      <c r="D119" s="2">
        <f>C118/2.66*10.67</f>
        <v>12946384.330827067</v>
      </c>
      <c r="E119" s="2">
        <v>290</v>
      </c>
      <c r="F119" s="10">
        <v>261</v>
      </c>
      <c r="G119" s="2">
        <f>D119*E119/2200</f>
        <v>1706568.8436090224</v>
      </c>
      <c r="H119" s="2">
        <f t="shared" ref="H119" si="49">D119*F119/2200</f>
        <v>1535911.9592481202</v>
      </c>
      <c r="I119" s="2">
        <f t="shared" ref="I119" si="50">G119-H119</f>
        <v>170656.88436090224</v>
      </c>
    </row>
    <row r="121" spans="1:9">
      <c r="I121" s="2"/>
    </row>
  </sheetData>
  <phoneticPr fontId="4" type="noConversion"/>
  <pageMargins left="0.75" right="0.75" top="1" bottom="1" header="0.5" footer="0.5"/>
  <pageSetup scale="7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D1" workbookViewId="0">
      <selection activeCell="D3" sqref="D3"/>
    </sheetView>
  </sheetViews>
  <sheetFormatPr baseColWidth="10" defaultRowHeight="15" x14ac:dyDescent="0"/>
  <cols>
    <col min="1" max="1" width="44" customWidth="1"/>
    <col min="3" max="3" width="4.5" customWidth="1"/>
    <col min="4" max="5" width="11.33203125" bestFit="1" customWidth="1"/>
    <col min="6" max="6" width="11.33203125" style="14" bestFit="1" customWidth="1"/>
    <col min="7" max="7" width="12.5" customWidth="1"/>
    <col min="8" max="8" width="13.5" customWidth="1"/>
  </cols>
  <sheetData>
    <row r="1" spans="1:18">
      <c r="A1" t="s">
        <v>0</v>
      </c>
      <c r="B1" t="s">
        <v>93</v>
      </c>
      <c r="D1">
        <v>2016</v>
      </c>
      <c r="E1">
        <v>2017</v>
      </c>
      <c r="F1" s="14">
        <v>2018</v>
      </c>
      <c r="G1">
        <v>2019</v>
      </c>
      <c r="H1">
        <v>2020</v>
      </c>
      <c r="K1" s="2"/>
      <c r="N1">
        <v>2016</v>
      </c>
      <c r="O1">
        <v>2017</v>
      </c>
      <c r="P1" s="14">
        <v>2018</v>
      </c>
      <c r="Q1">
        <v>2019</v>
      </c>
      <c r="R1">
        <v>2020</v>
      </c>
    </row>
    <row r="2" spans="1:18">
      <c r="K2" t="s">
        <v>96</v>
      </c>
      <c r="M2" s="2"/>
      <c r="N2" s="2">
        <v>342406.98181818181</v>
      </c>
      <c r="O2" s="2">
        <v>691365.76004530455</v>
      </c>
      <c r="P2" s="2">
        <v>1214334.5710330256</v>
      </c>
      <c r="Q2" s="2">
        <v>1490636.9554660178</v>
      </c>
      <c r="R2" s="2">
        <v>1386413.7914012659</v>
      </c>
    </row>
    <row r="3" spans="1:18">
      <c r="A3" t="s">
        <v>3</v>
      </c>
      <c r="C3" s="14"/>
      <c r="D3" s="14">
        <v>7281662.9929787228</v>
      </c>
      <c r="E3" s="14">
        <v>7281662.9929787228</v>
      </c>
      <c r="F3" s="14">
        <v>7281662.9929787228</v>
      </c>
      <c r="G3" s="14">
        <v>7281662.9929787228</v>
      </c>
      <c r="H3" s="14">
        <v>7281662.9929787228</v>
      </c>
      <c r="M3" s="2"/>
      <c r="N3" s="2"/>
      <c r="O3" s="2"/>
      <c r="P3" s="2"/>
      <c r="Q3" s="2"/>
      <c r="R3" s="2"/>
    </row>
    <row r="4" spans="1:18">
      <c r="A4" t="s">
        <v>1</v>
      </c>
      <c r="C4" s="14"/>
      <c r="D4" s="14">
        <v>8780853</v>
      </c>
      <c r="E4" s="14">
        <v>6710552.1699999999</v>
      </c>
      <c r="F4" s="14">
        <v>6710552.1699999999</v>
      </c>
      <c r="G4" s="14">
        <v>6710552.1699999999</v>
      </c>
      <c r="H4" s="14">
        <v>6710552.1699999999</v>
      </c>
      <c r="K4" t="s">
        <v>97</v>
      </c>
      <c r="M4" s="2"/>
      <c r="N4" s="2">
        <f>M2+N2</f>
        <v>342406.98181818181</v>
      </c>
      <c r="O4" s="2">
        <f>M2+N2+O2</f>
        <v>1033772.7418634864</v>
      </c>
      <c r="P4" s="2">
        <f>M2+N2+O2+P2</f>
        <v>2248107.312896512</v>
      </c>
      <c r="Q4" s="2">
        <f>M2+N2+O2+P2+Q2</f>
        <v>3738744.2683625296</v>
      </c>
      <c r="R4" s="2">
        <f>M2+N2+O2+P2+Q2+R2</f>
        <v>5125158.0597637957</v>
      </c>
    </row>
    <row r="5" spans="1:18">
      <c r="A5" t="s">
        <v>14</v>
      </c>
      <c r="C5" s="14"/>
      <c r="D5" s="14">
        <v>1484888.1397446808</v>
      </c>
      <c r="E5" s="14">
        <v>1484888.1397446808</v>
      </c>
      <c r="F5" s="14">
        <v>1484888.1397446808</v>
      </c>
      <c r="G5" s="14">
        <v>1484888.1397446808</v>
      </c>
      <c r="H5" s="14">
        <v>1484888.1397446808</v>
      </c>
    </row>
    <row r="6" spans="1:18">
      <c r="A6" t="s">
        <v>5</v>
      </c>
      <c r="C6" s="14"/>
      <c r="D6" s="14">
        <v>2084554.5038723403</v>
      </c>
      <c r="E6" s="14">
        <v>2084554.5038723403</v>
      </c>
      <c r="F6" s="14">
        <v>2084554.5038723403</v>
      </c>
      <c r="G6" s="14">
        <v>2084554.5038723403</v>
      </c>
      <c r="H6" s="14">
        <v>2084554.5038723403</v>
      </c>
    </row>
    <row r="7" spans="1:18">
      <c r="A7" t="s">
        <v>2</v>
      </c>
      <c r="C7" s="14"/>
      <c r="D7" s="14"/>
      <c r="E7" s="2">
        <v>8566662.3446808513</v>
      </c>
      <c r="F7" s="2">
        <v>8566662.3446808513</v>
      </c>
      <c r="G7" s="2">
        <v>8566662.3446808513</v>
      </c>
      <c r="H7" s="2">
        <v>8566662.3446808513</v>
      </c>
    </row>
    <row r="8" spans="1:18">
      <c r="A8" t="s">
        <v>13</v>
      </c>
      <c r="C8" s="14"/>
      <c r="D8" s="14"/>
      <c r="E8" s="14">
        <v>828110.69331914885</v>
      </c>
      <c r="F8" s="14">
        <v>828110.69331914885</v>
      </c>
      <c r="G8" s="14">
        <v>828110.69331914885</v>
      </c>
      <c r="H8" s="14">
        <v>828110.69331914885</v>
      </c>
    </row>
    <row r="9" spans="1:18">
      <c r="A9" t="s">
        <v>7</v>
      </c>
      <c r="C9" s="14"/>
      <c r="D9" s="14"/>
      <c r="E9" s="14">
        <v>6938996</v>
      </c>
      <c r="F9" s="14">
        <v>6938996</v>
      </c>
      <c r="G9" s="14">
        <v>6938996</v>
      </c>
      <c r="H9" s="14">
        <v>6938996</v>
      </c>
    </row>
    <row r="10" spans="1:18">
      <c r="A10" t="s">
        <v>6</v>
      </c>
      <c r="C10" s="14"/>
      <c r="D10" s="14"/>
      <c r="E10" s="14">
        <v>1713332.46893617</v>
      </c>
      <c r="F10" s="14">
        <v>1713332.46893617</v>
      </c>
      <c r="G10" s="14">
        <v>1713332.46893617</v>
      </c>
      <c r="H10" s="14">
        <v>1713332.46893617</v>
      </c>
    </row>
    <row r="11" spans="1:18">
      <c r="A11" t="s">
        <v>8</v>
      </c>
      <c r="C11" s="14"/>
      <c r="D11" s="14"/>
      <c r="E11" s="14"/>
      <c r="F11" s="14">
        <v>1005262.4001010077</v>
      </c>
      <c r="G11" s="14">
        <v>1005262.4001010077</v>
      </c>
      <c r="H11" s="14">
        <v>1005262.4001010077</v>
      </c>
    </row>
    <row r="12" spans="1:18">
      <c r="A12" t="s">
        <v>25</v>
      </c>
      <c r="C12" s="14"/>
      <c r="D12" s="14"/>
      <c r="E12" s="14"/>
      <c r="F12" s="14">
        <v>15017176.592406156</v>
      </c>
      <c r="G12" s="14">
        <v>15017176.592406156</v>
      </c>
      <c r="H12" s="14">
        <v>15017176.592406156</v>
      </c>
    </row>
    <row r="13" spans="1:18">
      <c r="A13" t="s">
        <v>9</v>
      </c>
      <c r="C13" s="14"/>
      <c r="D13" s="14"/>
      <c r="E13" s="14"/>
      <c r="F13" s="14">
        <v>8109376</v>
      </c>
      <c r="G13" s="14">
        <v>8109376</v>
      </c>
      <c r="H13" s="14">
        <v>8109376</v>
      </c>
    </row>
    <row r="14" spans="1:18">
      <c r="A14" t="s">
        <v>27</v>
      </c>
      <c r="C14" s="14"/>
      <c r="D14" s="14"/>
      <c r="E14" s="14"/>
      <c r="F14" s="14">
        <v>2587947.900697872</v>
      </c>
      <c r="G14" s="14">
        <v>2587947.900697872</v>
      </c>
      <c r="H14" s="14">
        <v>2587947.900697872</v>
      </c>
    </row>
    <row r="15" spans="1:18">
      <c r="A15" t="s">
        <v>10</v>
      </c>
      <c r="C15" s="14"/>
      <c r="D15" s="14"/>
      <c r="E15" s="14"/>
      <c r="F15" s="14">
        <v>16280201.059622619</v>
      </c>
      <c r="G15" s="14">
        <v>16280201.059622619</v>
      </c>
      <c r="H15" s="14">
        <v>16280201.059622619</v>
      </c>
    </row>
    <row r="16" spans="1:18">
      <c r="A16" t="s">
        <v>24</v>
      </c>
      <c r="C16" s="14"/>
      <c r="D16" s="14"/>
      <c r="E16" s="14"/>
      <c r="F16" s="14">
        <v>10912070.643432138</v>
      </c>
      <c r="G16" s="14">
        <v>10912070.643432138</v>
      </c>
      <c r="H16" s="14">
        <v>10912070.643432138</v>
      </c>
    </row>
    <row r="17" spans="1:8">
      <c r="A17" t="s">
        <v>26</v>
      </c>
      <c r="C17" s="14"/>
      <c r="D17" s="14"/>
      <c r="E17" s="14"/>
      <c r="G17" s="14">
        <v>52813838.350596182</v>
      </c>
      <c r="H17" s="14">
        <v>52813838.350596182</v>
      </c>
    </row>
    <row r="18" spans="1:8">
      <c r="A18" t="s">
        <v>28</v>
      </c>
      <c r="C18" s="14"/>
      <c r="D18" s="14"/>
      <c r="E18" s="14"/>
      <c r="G18" s="14">
        <v>6616265.2083792826</v>
      </c>
      <c r="H18" s="14">
        <v>6616265.2083792826</v>
      </c>
    </row>
    <row r="19" spans="1:8">
      <c r="A19" t="s">
        <v>15</v>
      </c>
      <c r="C19" s="14"/>
      <c r="D19" s="14"/>
      <c r="E19" s="14"/>
      <c r="G19" s="14">
        <v>689004.41429361689</v>
      </c>
      <c r="H19" s="14">
        <v>689004.41429361689</v>
      </c>
    </row>
    <row r="20" spans="1:8">
      <c r="A20" t="s">
        <v>11</v>
      </c>
      <c r="C20" s="14"/>
      <c r="D20" s="14"/>
      <c r="E20" s="14"/>
      <c r="G20" s="14">
        <v>3959376.0726218359</v>
      </c>
      <c r="H20" s="14">
        <v>3959376.0726218359</v>
      </c>
    </row>
    <row r="21" spans="1:8">
      <c r="A21" t="s">
        <v>112</v>
      </c>
      <c r="C21" s="14"/>
      <c r="D21" s="14"/>
      <c r="E21" s="14"/>
      <c r="G21" s="14"/>
      <c r="H21" s="14">
        <v>34647704.825574018</v>
      </c>
    </row>
    <row r="24" spans="1:8">
      <c r="A24" t="s">
        <v>106</v>
      </c>
      <c r="C24" s="12"/>
      <c r="D24" s="12">
        <f t="shared" ref="D24:H24" si="0">SUM(D3:D23)</f>
        <v>19631958.636595741</v>
      </c>
      <c r="E24" s="12">
        <f t="shared" si="0"/>
        <v>35608759.313531913</v>
      </c>
      <c r="F24" s="12">
        <f t="shared" si="0"/>
        <v>89520793.909791708</v>
      </c>
      <c r="G24" s="12">
        <f t="shared" si="0"/>
        <v>153599277.95568261</v>
      </c>
      <c r="H24" s="12">
        <f t="shared" si="0"/>
        <v>188246982.78125662</v>
      </c>
    </row>
    <row r="26" spans="1:8">
      <c r="F26"/>
    </row>
    <row r="27" spans="1:8">
      <c r="F2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CCE populations</vt:lpstr>
      <vt:lpstr>GHG &amp; $ calcs</vt:lpstr>
      <vt:lpstr>GHG &amp; $ data</vt:lpstr>
    </vt:vector>
  </TitlesOfParts>
  <Company>Guiding Sustainability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Wells</dc:creator>
  <cp:lastModifiedBy>Woody Hastings</cp:lastModifiedBy>
  <cp:lastPrinted>2017-05-01T16:05:51Z</cp:lastPrinted>
  <dcterms:created xsi:type="dcterms:W3CDTF">2017-04-12T23:48:14Z</dcterms:created>
  <dcterms:modified xsi:type="dcterms:W3CDTF">2017-06-02T18:40:24Z</dcterms:modified>
</cp:coreProperties>
</file>